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14235" windowHeight="7500" activeTab="2"/>
  </bookViews>
  <sheets>
    <sheet name="Cash Flow" sheetId="4" r:id="rId1"/>
    <sheet name="2015 Chart" sheetId="5" r:id="rId2"/>
    <sheet name="10 Year Cash Flow" sheetId="6" r:id="rId3"/>
  </sheets>
  <externalReferences>
    <externalReference r:id="rId4"/>
  </externalReferences>
  <definedNames>
    <definedName name="_xlnm.Print_Area" localSheetId="0">'Cash Flow'!$A$1:$I$69</definedName>
  </definedNames>
  <calcPr calcId="145621"/>
</workbook>
</file>

<file path=xl/calcChain.xml><?xml version="1.0" encoding="utf-8"?>
<calcChain xmlns="http://schemas.openxmlformats.org/spreadsheetml/2006/main">
  <c r="D16" i="6" l="1"/>
  <c r="F16" i="6" s="1"/>
  <c r="D17" i="6" s="1"/>
  <c r="F17" i="6" s="1"/>
  <c r="D18" i="6" s="1"/>
  <c r="F18" i="6" s="1"/>
  <c r="D15" i="6"/>
  <c r="E15" i="6" s="1"/>
  <c r="D6" i="6" l="1"/>
  <c r="D7" i="6"/>
  <c r="D8" i="6"/>
  <c r="D9" i="6"/>
  <c r="D10" i="6"/>
  <c r="D11" i="6"/>
  <c r="D12" i="6"/>
  <c r="D13" i="6"/>
  <c r="D14" i="6"/>
  <c r="D5" i="6"/>
  <c r="E14" i="6" l="1"/>
  <c r="C20" i="4" l="1"/>
  <c r="E20" i="4" s="1"/>
  <c r="C19" i="4"/>
  <c r="C18" i="4"/>
  <c r="E18" i="4"/>
  <c r="D4" i="6" l="1"/>
  <c r="E7" i="6"/>
  <c r="D3" i="6"/>
  <c r="E3" i="6" s="1"/>
  <c r="E12" i="6"/>
  <c r="E11" i="6"/>
  <c r="E10" i="6"/>
  <c r="E9" i="6"/>
  <c r="E8" i="6"/>
  <c r="E6" i="6"/>
  <c r="E5" i="6"/>
  <c r="E4" i="6"/>
  <c r="E2" i="6" l="1"/>
  <c r="C17" i="4" l="1"/>
  <c r="C16" i="4"/>
  <c r="C15" i="4"/>
  <c r="C14" i="4"/>
  <c r="C13" i="4"/>
  <c r="C12" i="4"/>
  <c r="C11" i="4"/>
  <c r="C10" i="4"/>
  <c r="C9" i="4"/>
  <c r="E17" i="4"/>
  <c r="E16" i="4"/>
  <c r="E15" i="4"/>
  <c r="E14" i="4"/>
  <c r="E13" i="4"/>
  <c r="E12" i="4"/>
  <c r="E11" i="4"/>
  <c r="E10" i="4"/>
  <c r="E9" i="4"/>
  <c r="G8" i="4"/>
  <c r="G24" i="4"/>
  <c r="G25" i="4" s="1"/>
  <c r="E37" i="4"/>
  <c r="C36" i="4"/>
  <c r="J36" i="4" s="1"/>
  <c r="C35" i="4"/>
  <c r="J35" i="4" s="1"/>
  <c r="C34" i="4"/>
  <c r="C37" i="4" s="1"/>
  <c r="J33" i="4"/>
  <c r="J32" i="4"/>
  <c r="J31" i="4"/>
  <c r="J30" i="4"/>
  <c r="J29" i="4"/>
  <c r="J28" i="4"/>
  <c r="G28" i="4"/>
  <c r="G29" i="4" s="1"/>
  <c r="G30" i="4" s="1"/>
  <c r="G31" i="4" s="1"/>
  <c r="G32" i="4" s="1"/>
  <c r="G33" i="4" s="1"/>
  <c r="G34" i="4" s="1"/>
  <c r="G35" i="4" s="1"/>
  <c r="G36" i="4" s="1"/>
  <c r="J27" i="4"/>
  <c r="J26" i="4"/>
  <c r="K26" i="4" s="1"/>
  <c r="J25" i="4"/>
  <c r="K25" i="4" s="1"/>
  <c r="K27" i="4" l="1"/>
  <c r="K28" i="4" s="1"/>
  <c r="K29" i="4" s="1"/>
  <c r="K30" i="4" s="1"/>
  <c r="K31" i="4" s="1"/>
  <c r="K32" i="4" s="1"/>
  <c r="K33" i="4" s="1"/>
  <c r="J34" i="4"/>
  <c r="K34" i="4" l="1"/>
  <c r="K35" i="4" s="1"/>
  <c r="K36" i="4" s="1"/>
  <c r="J20" i="4"/>
  <c r="J18" i="4"/>
  <c r="J17" i="4"/>
  <c r="J16" i="4"/>
  <c r="C84" i="4"/>
  <c r="E83" i="4"/>
  <c r="J83" i="4" s="1"/>
  <c r="J81" i="4"/>
  <c r="G81" i="4"/>
  <c r="E82" i="4" s="1"/>
  <c r="J80" i="4"/>
  <c r="J79" i="4"/>
  <c r="J78" i="4"/>
  <c r="J77" i="4"/>
  <c r="J76" i="4"/>
  <c r="J75" i="4"/>
  <c r="J74" i="4"/>
  <c r="J73" i="4"/>
  <c r="G73" i="4"/>
  <c r="G74" i="4" s="1"/>
  <c r="G75" i="4" s="1"/>
  <c r="G76" i="4" s="1"/>
  <c r="G77" i="4" s="1"/>
  <c r="G78" i="4" s="1"/>
  <c r="G79" i="4" s="1"/>
  <c r="J68" i="4"/>
  <c r="J67" i="4"/>
  <c r="J66" i="4"/>
  <c r="G66" i="4"/>
  <c r="G67" i="4" s="1"/>
  <c r="G68" i="4" s="1"/>
  <c r="J65" i="4"/>
  <c r="J64" i="4"/>
  <c r="E63" i="4"/>
  <c r="C63" i="4"/>
  <c r="J63" i="4" s="1"/>
  <c r="E62" i="4"/>
  <c r="C62" i="4" s="1"/>
  <c r="J62" i="4" s="1"/>
  <c r="E61" i="4"/>
  <c r="C61" i="4" s="1"/>
  <c r="J61" i="4" s="1"/>
  <c r="E60" i="4"/>
  <c r="C60" i="4" s="1"/>
  <c r="J60" i="4" s="1"/>
  <c r="E59" i="4"/>
  <c r="C59" i="4"/>
  <c r="J59" i="4" s="1"/>
  <c r="E58" i="4"/>
  <c r="C58" i="4" s="1"/>
  <c r="J58" i="4" s="1"/>
  <c r="E57" i="4"/>
  <c r="E69" i="4" s="1"/>
  <c r="E52" i="4"/>
  <c r="J52" i="4" s="1"/>
  <c r="E51" i="4"/>
  <c r="J51" i="4" s="1"/>
  <c r="J50" i="4"/>
  <c r="E49" i="4"/>
  <c r="J49" i="4" s="1"/>
  <c r="E48" i="4"/>
  <c r="J48" i="4" s="1"/>
  <c r="E47" i="4"/>
  <c r="J47" i="4" s="1"/>
  <c r="E46" i="4"/>
  <c r="C46" i="4" s="1"/>
  <c r="J46" i="4" s="1"/>
  <c r="E45" i="4"/>
  <c r="C45" i="4" s="1"/>
  <c r="J45" i="4" s="1"/>
  <c r="E44" i="4"/>
  <c r="C43" i="4"/>
  <c r="J43" i="4" s="1"/>
  <c r="C42" i="4"/>
  <c r="J42" i="4" s="1"/>
  <c r="C41" i="4"/>
  <c r="E53" i="4" l="1"/>
  <c r="G47" i="4"/>
  <c r="G48" i="4" s="1"/>
  <c r="G49" i="4" s="1"/>
  <c r="G50" i="4" s="1"/>
  <c r="G51" i="4" s="1"/>
  <c r="G52" i="4" s="1"/>
  <c r="C57" i="4"/>
  <c r="J57" i="4" s="1"/>
  <c r="J9" i="4"/>
  <c r="K9" i="4" s="1"/>
  <c r="J15" i="4"/>
  <c r="J82" i="4"/>
  <c r="J41" i="4"/>
  <c r="K41" i="4" s="1"/>
  <c r="K42" i="4" s="1"/>
  <c r="K43" i="4" s="1"/>
  <c r="C44" i="4"/>
  <c r="J44" i="4" s="1"/>
  <c r="E84" i="4"/>
  <c r="E85" i="4" s="1"/>
  <c r="C85" i="4"/>
  <c r="C69" i="4" l="1"/>
  <c r="K44" i="4"/>
  <c r="K45" i="4" s="1"/>
  <c r="K46" i="4" s="1"/>
  <c r="K47" i="4" s="1"/>
  <c r="K48" i="4" s="1"/>
  <c r="K49" i="4" s="1"/>
  <c r="K50" i="4" s="1"/>
  <c r="K51" i="4" s="1"/>
  <c r="K52" i="4" s="1"/>
  <c r="J84" i="4"/>
  <c r="C53" i="4"/>
  <c r="J14" i="4" l="1"/>
  <c r="J10" i="4"/>
  <c r="K10" i="4" s="1"/>
  <c r="J11" i="4"/>
  <c r="K11" i="4" l="1"/>
  <c r="J13" i="4"/>
  <c r="C21" i="4"/>
  <c r="J12" i="4" l="1"/>
  <c r="K12" i="4" s="1"/>
  <c r="K13" i="4" s="1"/>
  <c r="K14" i="4" s="1"/>
  <c r="K15" i="4" s="1"/>
  <c r="K16" i="4" s="1"/>
  <c r="K17" i="4" s="1"/>
  <c r="K18" i="4" s="1"/>
  <c r="E19" i="4" l="1"/>
  <c r="J19" i="4" s="1"/>
  <c r="K19" i="4" s="1"/>
  <c r="K20" i="4" s="1"/>
  <c r="E13" i="6"/>
  <c r="E21" i="4" l="1"/>
</calcChain>
</file>

<file path=xl/sharedStrings.xml><?xml version="1.0" encoding="utf-8"?>
<sst xmlns="http://schemas.openxmlformats.org/spreadsheetml/2006/main" count="191" uniqueCount="31">
  <si>
    <t>CALIFORNIA EXPOSITION AND STATE FAIR</t>
  </si>
  <si>
    <t>Year/Month</t>
  </si>
  <si>
    <t>Receipts</t>
  </si>
  <si>
    <t>Disbursements</t>
  </si>
  <si>
    <t>Cash Balance</t>
  </si>
  <si>
    <t>Beginning balance  1/1/2013</t>
  </si>
  <si>
    <t>January</t>
  </si>
  <si>
    <t>A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</si>
  <si>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</si>
  <si>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</si>
  <si>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</si>
  <si>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</si>
  <si>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</si>
  <si>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</si>
  <si>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</si>
  <si>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</si>
  <si>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</si>
  <si>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</si>
  <si>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</si>
  <si>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TOTALS</t>
  </si>
  <si>
    <t>Beginning balance  1/1/2012</t>
  </si>
  <si>
    <t>Beginning balance  1/1/2011</t>
  </si>
  <si>
    <t>Beginning balance  1/1/2014</t>
  </si>
  <si>
    <t>Beginning balance  1/1/2015</t>
  </si>
  <si>
    <t xml:space="preserve">Increase / (Decrease) </t>
  </si>
  <si>
    <t>Cash Balance at January 1</t>
  </si>
  <si>
    <t>Cash Balance at December 31</t>
  </si>
  <si>
    <t>CASH FLOW STATEMENT 2013-2015</t>
  </si>
  <si>
    <t>Year</t>
  </si>
  <si>
    <t>** ESTIMATE **</t>
  </si>
  <si>
    <t>(year end cash estimate at 10/25/17    $6,761,142)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</si>
</sst>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</cellStyleXfs>
  <cellXfs count="34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9" fillId="24" borderId="0" xfId="0" applyFont="1" applyFill="1" applyAlignment="1">
      <alignment horizontal="center"/>
    </xf>
    <xf numFmtId="0" fontId="20" fillId="0" borderId="0" xfId="0" applyFont="1" applyAlignment="1">
      <alignment horizontal="right"/>
    </xf>
    <xf numFmtId="42" fontId="20" fillId="0" borderId="0" xfId="0" applyNumberFormat="1" applyFont="1"/>
    <xf numFmtId="42" fontId="20" fillId="0" borderId="0" xfId="0" applyNumberFormat="1" applyFont="1" applyFill="1"/>
    <xf numFmtId="0" fontId="20" fillId="0" borderId="0" xfId="0" applyFont="1" applyFill="1"/>
    <xf numFmtId="41" fontId="20" fillId="0" borderId="0" xfId="0" applyNumberFormat="1" applyFont="1" applyFill="1"/>
    <xf numFmtId="0" fontId="20" fillId="0" borderId="0" xfId="0" applyFont="1" applyBorder="1" applyAlignment="1">
      <alignment horizontal="center" wrapText="1"/>
    </xf>
    <xf numFmtId="41" fontId="20" fillId="0" borderId="0" xfId="0" applyNumberFormat="1" applyFont="1"/>
    <xf numFmtId="42" fontId="20" fillId="0" borderId="10" xfId="0" applyNumberFormat="1" applyFont="1" applyFill="1" applyBorder="1"/>
    <xf numFmtId="41" fontId="20" fillId="0" borderId="0" xfId="0" applyNumberFormat="1" applyFont="1" applyBorder="1"/>
    <xf numFmtId="164" fontId="20" fillId="0" borderId="0" xfId="0" applyNumberFormat="1" applyFont="1"/>
    <xf numFmtId="0" fontId="20" fillId="0" borderId="0" xfId="0" applyFont="1" applyAlignment="1">
      <alignment horizontal="center" wrapText="1"/>
    </xf>
    <xf numFmtId="42" fontId="20" fillId="0" borderId="0" xfId="0" applyNumberFormat="1" applyFont="1" applyAlignment="1">
      <alignment horizontal="center" wrapText="1"/>
    </xf>
    <xf numFmtId="164" fontId="20" fillId="0" borderId="0" xfId="0" applyNumberFormat="1" applyFont="1" applyAlignment="1">
      <alignment horizontal="center" wrapText="1"/>
    </xf>
    <xf numFmtId="42" fontId="20" fillId="0" borderId="10" xfId="0" applyNumberFormat="1" applyFont="1" applyBorder="1"/>
    <xf numFmtId="0" fontId="20" fillId="25" borderId="0" xfId="0" applyFont="1" applyFill="1" applyAlignment="1">
      <alignment horizontal="center"/>
    </xf>
    <xf numFmtId="41" fontId="20" fillId="25" borderId="0" xfId="0" applyNumberFormat="1" applyFont="1" applyFill="1"/>
    <xf numFmtId="0" fontId="21" fillId="0" borderId="0" xfId="0" applyFont="1"/>
    <xf numFmtId="0" fontId="20" fillId="0" borderId="0" xfId="0" applyFont="1" applyAlignment="1">
      <alignment horizontal="right"/>
    </xf>
    <xf numFmtId="165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wrapText="1"/>
    </xf>
    <xf numFmtId="165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right"/>
    </xf>
  </cellXfs>
  <cellStyles count="46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urrency 2" xfId="29"/>
    <cellStyle name="Currency 3" xfId="45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1"/>
    <cellStyle name="Normal 3" xfId="44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25352518144927"/>
          <c:y val="0.2098835645182999"/>
          <c:w val="0.77149294963710147"/>
          <c:h val="0.71544632118192031"/>
        </c:manualLayout>
      </c:layout>
      <c:barChart>
        <c:barDir val="col"/>
        <c:grouping val="clustered"/>
        <c:varyColors val="0"/>
        <c:ser>
          <c:idx val="1"/>
          <c:order val="0"/>
          <c:tx>
            <c:v>month</c:v>
          </c:tx>
          <c:invertIfNegative val="0"/>
          <c:dLbls>
            <c:delete val="1"/>
          </c:dLbls>
          <c:cat>
            <c:strRef>
              <c:f>'[1]Cash Flow'!$L$9:$L$20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'[1]Cash Flow'!$L$9:$L$20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0"/>
          <c:order val="1"/>
          <c:tx>
            <c:v>cash flow</c:v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Lbls>
            <c:dLbl>
              <c:idx val="1"/>
              <c:layout>
                <c:manualLayout>
                  <c:x val="0"/>
                  <c:y val="6.055777044408872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6885041581328628E-17"/>
                  <c:y val="-4.03718469627258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1.00926438521226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4664737541613174E-3"/>
                  <c:y val="-6.0556181001294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1.4664737541612636E-3"/>
                  <c:y val="-1.61488977293697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1.4664737541612636E-3"/>
                  <c:y val="-3.1788855876162064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5.8658950166450546E-3"/>
                  <c:y val="2.01859234813636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'Cash Flow'!$K$9:$K$20</c:f>
              <c:numCache>
                <c:formatCode>_("$"* #,##0_);_("$"* \(#,##0\);_("$"* "-"_);_(@_)</c:formatCode>
                <c:ptCount val="12"/>
                <c:pt idx="0">
                  <c:v>274309.33000000007</c:v>
                </c:pt>
                <c:pt idx="1">
                  <c:v>-1268761.67</c:v>
                </c:pt>
                <c:pt idx="2">
                  <c:v>-1364302.67</c:v>
                </c:pt>
                <c:pt idx="3">
                  <c:v>-1580528.67</c:v>
                </c:pt>
                <c:pt idx="4">
                  <c:v>-673331.66999999993</c:v>
                </c:pt>
                <c:pt idx="5">
                  <c:v>-347130.66999999993</c:v>
                </c:pt>
                <c:pt idx="6">
                  <c:v>7418584.3300000001</c:v>
                </c:pt>
                <c:pt idx="7">
                  <c:v>4807867.33</c:v>
                </c:pt>
                <c:pt idx="8">
                  <c:v>4233773.33</c:v>
                </c:pt>
                <c:pt idx="9">
                  <c:v>2373483.33</c:v>
                </c:pt>
                <c:pt idx="10">
                  <c:v>2212786.3299999991</c:v>
                </c:pt>
                <c:pt idx="11">
                  <c:v>1399727.3299999991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8470784"/>
        <c:axId val="85995904"/>
      </c:barChart>
      <c:catAx>
        <c:axId val="38470784"/>
        <c:scaling>
          <c:orientation val="minMax"/>
        </c:scaling>
        <c:delete val="0"/>
        <c:axPos val="b"/>
        <c:numFmt formatCode="_(&quot;$&quot;* #,##0_);_(&quot;$&quot;* \(#,##0\);_(&quot;$&quot;* &quot;-&quot;_);_(@_)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85995904"/>
        <c:crosses val="autoZero"/>
        <c:auto val="1"/>
        <c:lblAlgn val="ctr"/>
        <c:lblOffset val="100"/>
        <c:noMultiLvlLbl val="0"/>
      </c:catAx>
      <c:valAx>
        <c:axId val="85995904"/>
        <c:scaling>
          <c:orientation val="minMax"/>
          <c:min val="-2000000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38470784"/>
        <c:crosses val="autoZero"/>
        <c:crossBetween val="between"/>
        <c:majorUnit val="1000000"/>
        <c:minorUnit val="200000"/>
      </c:valAx>
      <c:spPr>
        <a:noFill/>
        <a:ln w="25400">
          <a:noFill/>
        </a:ln>
        <a:effectLst>
          <a:glow rad="139700">
            <a:schemeClr val="accent2">
              <a:satMod val="175000"/>
              <a:alpha val="40000"/>
            </a:schemeClr>
          </a:glow>
        </a:effectLst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38858569788751"/>
          <c:y val="4.9780112270711725E-2"/>
          <c:w val="0.91306837387166362"/>
          <c:h val="0.879717726005898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effectLst/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effectLst/>
            </c:spPr>
          </c:dPt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'10 Year Cash Flow'!$B$8:$B$18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'10 Year Cash Flow'!$F$8:$F$18</c:f>
              <c:numCache>
                <c:formatCode>_("$"* #,##0_);_("$"* \(#,##0\);_("$"* "-"??_);_(@_)</c:formatCode>
                <c:ptCount val="11"/>
                <c:pt idx="0">
                  <c:v>2171946</c:v>
                </c:pt>
                <c:pt idx="1">
                  <c:v>4741328.4000000004</c:v>
                </c:pt>
                <c:pt idx="2">
                  <c:v>6062901.5499999998</c:v>
                </c:pt>
                <c:pt idx="3">
                  <c:v>6627262.25</c:v>
                </c:pt>
                <c:pt idx="4">
                  <c:v>8526089.6099999994</c:v>
                </c:pt>
                <c:pt idx="5">
                  <c:v>10015231</c:v>
                </c:pt>
                <c:pt idx="6">
                  <c:v>9452019</c:v>
                </c:pt>
                <c:pt idx="7">
                  <c:v>6858093</c:v>
                </c:pt>
                <c:pt idx="8">
                  <c:v>4681093</c:v>
                </c:pt>
                <c:pt idx="9">
                  <c:v>2322100</c:v>
                </c:pt>
                <c:pt idx="10">
                  <c:v>-576073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6250240"/>
        <c:axId val="86253952"/>
      </c:barChart>
      <c:catAx>
        <c:axId val="86250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6253952"/>
        <c:crosses val="autoZero"/>
        <c:auto val="1"/>
        <c:lblAlgn val="ctr"/>
        <c:lblOffset val="100"/>
        <c:noMultiLvlLbl val="0"/>
      </c:catAx>
      <c:valAx>
        <c:axId val="86253952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none"/>
        <c:minorTickMark val="none"/>
        <c:tickLblPos val="nextTo"/>
        <c:crossAx val="86250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19050"/>
    <xdr:ext cx="8660230" cy="62915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0.00577</cdr:x>
      <cdr:y>0.72214</cdr:y>
    </cdr:from>
    <cdr:to>
      <cdr:x>0.12099</cdr:x>
      <cdr:y>0.82813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9970" y="4543344"/>
          <a:ext cx="997831" cy="6668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Cash Balance at January</a:t>
          </a:r>
          <a:r>
            <a:rPr lang="en-US" sz="1100" b="1" baseline="0"/>
            <a:t> 1                </a:t>
          </a:r>
          <a:r>
            <a:rPr lang="en-US" sz="1400" b="1"/>
            <a:t>$8,826,090</a:t>
          </a:r>
        </a:p>
      </cdr:txBody>
    </cdr:sp>
  </cdr:relSizeAnchor>
  <cdr:relSizeAnchor xmlns:cdr="http://schemas.openxmlformats.org/drawingml/2006/chartDrawing">
    <cdr:from>
      <cdr:x>0.87083</cdr:x>
      <cdr:y>0.72495</cdr:y>
    </cdr:from>
    <cdr:to>
      <cdr:x>1</cdr:x>
      <cdr:y>0.83872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7541588" y="4561048"/>
          <a:ext cx="1118642" cy="7157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/>
            <a:t>Cash Balance at December 31</a:t>
          </a:r>
          <a:r>
            <a:rPr lang="en-US" sz="1100" b="1" baseline="0"/>
            <a:t>                          </a:t>
          </a:r>
        </a:p>
        <a:p xmlns:a="http://schemas.openxmlformats.org/drawingml/2006/main">
          <a:pPr algn="ctr"/>
          <a:r>
            <a:rPr lang="en-US" sz="1400" b="1"/>
            <a:t>$10,225,817</a:t>
          </a:r>
        </a:p>
      </cdr:txBody>
    </cdr:sp>
  </cdr:relSizeAnchor>
  <cdr:relSizeAnchor xmlns:cdr="http://schemas.openxmlformats.org/drawingml/2006/chartDrawing">
    <cdr:from>
      <cdr:x>0.0094</cdr:x>
      <cdr:y>0.02852</cdr:y>
    </cdr:from>
    <cdr:to>
      <cdr:x>0.99264</cdr:x>
      <cdr:y>0.15687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81410" y="179103"/>
          <a:ext cx="8515513" cy="8059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2000" b="1">
              <a:latin typeface="Arial" panose="020B0604020202020204" pitchFamily="34" charset="0"/>
              <a:cs typeface="Arial" panose="020B0604020202020204" pitchFamily="34" charset="0"/>
            </a:rPr>
            <a:t>California</a:t>
          </a:r>
          <a:r>
            <a:rPr lang="en-US" sz="2000" b="1" baseline="0">
              <a:latin typeface="Arial" panose="020B0604020202020204" pitchFamily="34" charset="0"/>
              <a:cs typeface="Arial" panose="020B0604020202020204" pitchFamily="34" charset="0"/>
            </a:rPr>
            <a:t> Exposition &amp; State Fair</a:t>
          </a:r>
          <a:endParaRPr lang="en-US" sz="2000" b="1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en-US" sz="2000" b="1">
              <a:latin typeface="Arial" panose="020B0604020202020204" pitchFamily="34" charset="0"/>
              <a:cs typeface="Arial" panose="020B0604020202020204" pitchFamily="34" charset="0"/>
            </a:rPr>
            <a:t>2015</a:t>
          </a:r>
          <a:r>
            <a:rPr lang="en-US" sz="2000" b="1" baseline="0">
              <a:latin typeface="Arial" panose="020B0604020202020204" pitchFamily="34" charset="0"/>
              <a:cs typeface="Arial" panose="020B0604020202020204" pitchFamily="34" charset="0"/>
            </a:rPr>
            <a:t> Cash Flow</a:t>
          </a:r>
          <a:endParaRPr lang="en-US" sz="20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0.00454</cdr:x>
      <cdr:y>0.68842</cdr:y>
    </cdr:from>
    <cdr:to>
      <cdr:x>0.13708</cdr:x>
      <cdr:y>0.71824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39319" y="4331203"/>
          <a:ext cx="1147827" cy="1876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+</a:t>
          </a:r>
          <a:r>
            <a:rPr lang="en-US" sz="1100" baseline="0"/>
            <a:t> $ 1,000,000</a:t>
          </a:r>
          <a:endParaRPr lang="en-US" sz="1100"/>
        </a:p>
      </cdr:txBody>
    </cdr:sp>
  </cdr:relSizeAnchor>
  <cdr:relSizeAnchor xmlns:cdr="http://schemas.openxmlformats.org/drawingml/2006/chartDrawing">
    <cdr:from>
      <cdr:x>0.00665</cdr:x>
      <cdr:y>0.33717</cdr:y>
    </cdr:from>
    <cdr:to>
      <cdr:x>0.13919</cdr:x>
      <cdr:y>0.36698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7591" y="2121326"/>
          <a:ext cx="1147826" cy="187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+</a:t>
          </a:r>
          <a:r>
            <a:rPr lang="en-US" sz="1100" baseline="0"/>
            <a:t> $ 6,000,000</a:t>
          </a:r>
          <a:endParaRPr lang="en-US" sz="1100"/>
        </a:p>
      </cdr:txBody>
    </cdr:sp>
  </cdr:relSizeAnchor>
  <cdr:relSizeAnchor xmlns:cdr="http://schemas.openxmlformats.org/drawingml/2006/chartDrawing">
    <cdr:from>
      <cdr:x>0.00477</cdr:x>
      <cdr:y>0.40718</cdr:y>
    </cdr:from>
    <cdr:to>
      <cdr:x>0.13731</cdr:x>
      <cdr:y>0.437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1308" y="2561773"/>
          <a:ext cx="1147827" cy="1876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+</a:t>
          </a:r>
          <a:r>
            <a:rPr lang="en-US" sz="1100" baseline="0"/>
            <a:t> $ 5,000,000</a:t>
          </a:r>
          <a:endParaRPr lang="en-US" sz="1100"/>
        </a:p>
      </cdr:txBody>
    </cdr:sp>
  </cdr:relSizeAnchor>
  <cdr:relSizeAnchor xmlns:cdr="http://schemas.openxmlformats.org/drawingml/2006/chartDrawing">
    <cdr:from>
      <cdr:x>0.01011</cdr:x>
      <cdr:y>0.47525</cdr:y>
    </cdr:from>
    <cdr:to>
      <cdr:x>0.14265</cdr:x>
      <cdr:y>0.50506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87552" y="2990017"/>
          <a:ext cx="1147827" cy="187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+</a:t>
          </a:r>
          <a:r>
            <a:rPr lang="en-US" sz="1100" baseline="0"/>
            <a:t> $ 4,000,000</a:t>
          </a:r>
          <a:endParaRPr lang="en-US" sz="1100"/>
        </a:p>
      </cdr:txBody>
    </cdr:sp>
  </cdr:relSizeAnchor>
  <cdr:relSizeAnchor xmlns:cdr="http://schemas.openxmlformats.org/drawingml/2006/chartDrawing">
    <cdr:from>
      <cdr:x>0.00587</cdr:x>
      <cdr:y>0.54806</cdr:y>
    </cdr:from>
    <cdr:to>
      <cdr:x>0.13841</cdr:x>
      <cdr:y>0.57788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50836" y="3448144"/>
          <a:ext cx="1147826" cy="1876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+</a:t>
          </a:r>
          <a:r>
            <a:rPr lang="en-US" sz="1100" baseline="0"/>
            <a:t> $ 3,000,000</a:t>
          </a:r>
          <a:endParaRPr lang="en-US" sz="1100"/>
        </a:p>
      </cdr:txBody>
    </cdr:sp>
  </cdr:relSizeAnchor>
  <cdr:relSizeAnchor xmlns:cdr="http://schemas.openxmlformats.org/drawingml/2006/chartDrawing">
    <cdr:from>
      <cdr:x>0.00603</cdr:x>
      <cdr:y>0.61937</cdr:y>
    </cdr:from>
    <cdr:to>
      <cdr:x>0.13857</cdr:x>
      <cdr:y>0.64919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52221" y="3896770"/>
          <a:ext cx="1147827" cy="1876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+</a:t>
          </a:r>
          <a:r>
            <a:rPr lang="en-US" sz="1100" baseline="0"/>
            <a:t> $ 2,000,000</a:t>
          </a:r>
          <a:endParaRPr lang="en-US" sz="1100"/>
        </a:p>
      </cdr:txBody>
    </cdr:sp>
  </cdr:relSizeAnchor>
  <cdr:relSizeAnchor xmlns:cdr="http://schemas.openxmlformats.org/drawingml/2006/chartDrawing">
    <cdr:from>
      <cdr:x>0.00681</cdr:x>
      <cdr:y>0.82808</cdr:y>
    </cdr:from>
    <cdr:to>
      <cdr:x>0.13935</cdr:x>
      <cdr:y>0.8579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58976" y="5209886"/>
          <a:ext cx="1147827" cy="1876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aseline="0"/>
            <a:t>$( 1,000,000 )</a:t>
          </a:r>
          <a:endParaRPr lang="en-US" sz="1100"/>
        </a:p>
      </cdr:txBody>
    </cdr:sp>
  </cdr:relSizeAnchor>
  <cdr:relSizeAnchor xmlns:cdr="http://schemas.openxmlformats.org/drawingml/2006/chartDrawing">
    <cdr:from>
      <cdr:x>0.00587</cdr:x>
      <cdr:y>0.90243</cdr:y>
    </cdr:from>
    <cdr:to>
      <cdr:x>0.13841</cdr:x>
      <cdr:y>0.93225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50836" y="5677625"/>
          <a:ext cx="1147826" cy="1876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aseline="0"/>
            <a:t>$( 2,000,000 )</a:t>
          </a:r>
          <a:endParaRPr lang="en-US" sz="1100"/>
        </a:p>
      </cdr:txBody>
    </cdr:sp>
  </cdr:relSizeAnchor>
  <cdr:relSizeAnchor xmlns:cdr="http://schemas.openxmlformats.org/drawingml/2006/chartDrawing">
    <cdr:from>
      <cdr:x>0.00587</cdr:x>
      <cdr:y>0.26242</cdr:y>
    </cdr:from>
    <cdr:to>
      <cdr:x>0.13841</cdr:x>
      <cdr:y>0.29223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50800" y="1651000"/>
          <a:ext cx="1147826" cy="187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+</a:t>
          </a:r>
          <a:r>
            <a:rPr lang="en-US" sz="1100" baseline="0"/>
            <a:t> $ 7,000,000</a:t>
          </a:r>
          <a:endParaRPr lang="en-US" sz="1100"/>
        </a:p>
      </cdr:txBody>
    </cdr:sp>
  </cdr:relSizeAnchor>
  <cdr:relSizeAnchor xmlns:cdr="http://schemas.openxmlformats.org/drawingml/2006/chartDrawing">
    <cdr:from>
      <cdr:x>0.00917</cdr:x>
      <cdr:y>0.19429</cdr:y>
    </cdr:from>
    <cdr:to>
      <cdr:x>0.14171</cdr:x>
      <cdr:y>0.2241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79375" y="1222375"/>
          <a:ext cx="1147826" cy="187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+</a:t>
          </a:r>
          <a:r>
            <a:rPr lang="en-US" sz="1100" baseline="0"/>
            <a:t> $ 8,000,000</a:t>
          </a:r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18</xdr:row>
      <xdr:rowOff>95249</xdr:rowOff>
    </xdr:from>
    <xdr:to>
      <xdr:col>9</xdr:col>
      <xdr:colOff>1</xdr:colOff>
      <xdr:row>37</xdr:row>
      <xdr:rowOff>152398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l%20Expo%20Quarterly%20Financials%202013\Qtr%204\Financial%20Statements%20Qtr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BS"/>
      <sheetName val="LAIF"/>
      <sheetName val="Cash Flow Chart"/>
      <sheetName val="Cash Flow"/>
    </sheetNames>
    <sheetDataSet>
      <sheetData sheetId="0"/>
      <sheetData sheetId="1"/>
      <sheetData sheetId="2"/>
      <sheetData sheetId="3" refreshError="1"/>
      <sheetData sheetId="4">
        <row r="9">
          <cell r="L9" t="str">
            <v>January</v>
          </cell>
        </row>
        <row r="10">
          <cell r="L10" t="str">
            <v>February</v>
          </cell>
        </row>
        <row r="11">
          <cell r="L11" t="str">
            <v>March</v>
          </cell>
        </row>
        <row r="12">
          <cell r="L12" t="str">
            <v>April</v>
          </cell>
        </row>
        <row r="13">
          <cell r="L13" t="str">
            <v>May</v>
          </cell>
        </row>
        <row r="14">
          <cell r="L14" t="str">
            <v>June</v>
          </cell>
        </row>
        <row r="15">
          <cell r="L15" t="str">
            <v>July</v>
          </cell>
        </row>
        <row r="16">
          <cell r="L16" t="str">
            <v>August</v>
          </cell>
        </row>
        <row r="17">
          <cell r="L17" t="str">
            <v>September</v>
          </cell>
        </row>
        <row r="18">
          <cell r="L18" t="str">
            <v>October</v>
          </cell>
        </row>
        <row r="19">
          <cell r="L19" t="str">
            <v>November</v>
          </cell>
        </row>
        <row r="20">
          <cell r="L20" t="str">
            <v>December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topLeftCell="A4" workbookViewId="0">
      <selection activeCell="C8" sqref="C8:E8"/>
    </sheetView>
  </sheetViews>
  <sheetFormatPr defaultRowHeight="12.75" x14ac:dyDescent="0.2"/>
  <cols>
    <col min="1" max="1" width="15.28515625" style="1" customWidth="1"/>
    <col min="2" max="2" width="2.7109375" style="2" customWidth="1"/>
    <col min="3" max="3" width="18" style="1" customWidth="1"/>
    <col min="4" max="4" width="2" style="1" customWidth="1"/>
    <col min="5" max="5" width="17.85546875" style="1" customWidth="1"/>
    <col min="6" max="6" width="1.7109375" style="1" customWidth="1"/>
    <col min="7" max="7" width="13.5703125" style="1" bestFit="1" customWidth="1"/>
    <col min="8" max="8" width="1.85546875" style="1" customWidth="1"/>
    <col min="9" max="9" width="3.28515625" style="1" customWidth="1"/>
    <col min="10" max="10" width="14" style="1" customWidth="1"/>
    <col min="11" max="11" width="12.28515625" style="1" customWidth="1"/>
    <col min="12" max="12" width="12.42578125" style="1" customWidth="1"/>
    <col min="13" max="13" width="13" style="1" customWidth="1"/>
    <col min="14" max="14" width="20.5703125" style="1" customWidth="1"/>
    <col min="15" max="16384" width="9.140625" style="1"/>
  </cols>
  <sheetData>
    <row r="1" spans="1:12" x14ac:dyDescent="0.2">
      <c r="A1" s="32" t="s">
        <v>0</v>
      </c>
      <c r="B1" s="32"/>
      <c r="C1" s="32"/>
      <c r="D1" s="32"/>
      <c r="E1" s="32"/>
      <c r="F1" s="32"/>
      <c r="G1" s="32"/>
    </row>
    <row r="2" spans="1:12" x14ac:dyDescent="0.2">
      <c r="A2" s="32" t="s">
        <v>27</v>
      </c>
      <c r="B2" s="32"/>
      <c r="C2" s="32"/>
      <c r="D2" s="32"/>
      <c r="E2" s="32"/>
      <c r="F2" s="32"/>
      <c r="G2" s="32"/>
    </row>
    <row r="3" spans="1:12" x14ac:dyDescent="0.2">
      <c r="A3" s="2"/>
      <c r="C3" s="2"/>
      <c r="D3" s="2"/>
      <c r="E3" s="2"/>
      <c r="F3" s="2"/>
      <c r="G3" s="2"/>
    </row>
    <row r="5" spans="1:12" x14ac:dyDescent="0.2">
      <c r="A5" s="3" t="s">
        <v>1</v>
      </c>
      <c r="B5" s="3"/>
      <c r="C5" s="3" t="s">
        <v>2</v>
      </c>
      <c r="D5" s="3"/>
      <c r="E5" s="3" t="s">
        <v>3</v>
      </c>
      <c r="F5" s="3"/>
      <c r="G5" s="3" t="s">
        <v>4</v>
      </c>
      <c r="H5" s="3"/>
    </row>
    <row r="6" spans="1:12" x14ac:dyDescent="0.2">
      <c r="A6" s="4"/>
      <c r="B6" s="4"/>
      <c r="C6" s="4"/>
      <c r="D6" s="4"/>
      <c r="E6" s="4"/>
      <c r="F6" s="4"/>
      <c r="G6" s="4"/>
      <c r="H6" s="4"/>
    </row>
    <row r="7" spans="1:12" x14ac:dyDescent="0.2">
      <c r="A7" s="5">
        <v>2015</v>
      </c>
      <c r="B7" s="4"/>
      <c r="C7" s="4"/>
      <c r="D7" s="4"/>
      <c r="E7" s="4"/>
      <c r="F7" s="4"/>
      <c r="G7" s="4"/>
      <c r="H7" s="4"/>
    </row>
    <row r="8" spans="1:12" x14ac:dyDescent="0.2">
      <c r="C8" s="33" t="s">
        <v>23</v>
      </c>
      <c r="D8" s="33"/>
      <c r="E8" s="33"/>
      <c r="F8" s="6"/>
      <c r="G8" s="7">
        <f>G36</f>
        <v>8826089.6699999999</v>
      </c>
      <c r="H8" s="4"/>
      <c r="J8" s="7"/>
    </row>
    <row r="9" spans="1:12" x14ac:dyDescent="0.2">
      <c r="A9" s="2" t="s">
        <v>6</v>
      </c>
      <c r="B9" s="2" t="s">
        <v>7</v>
      </c>
      <c r="C9" s="8">
        <f>2446330-798150</f>
        <v>1648180</v>
      </c>
      <c r="D9" s="9"/>
      <c r="E9" s="8">
        <f>G8+C9-G9</f>
        <v>1373870.67</v>
      </c>
      <c r="F9" s="10"/>
      <c r="G9" s="10">
        <v>9100399</v>
      </c>
      <c r="H9" s="4"/>
      <c r="J9" s="7">
        <f>C9-E9</f>
        <v>274309.33000000007</v>
      </c>
      <c r="K9" s="7">
        <f>J9+J8</f>
        <v>274309.33000000007</v>
      </c>
      <c r="L9" s="1" t="s">
        <v>6</v>
      </c>
    </row>
    <row r="10" spans="1:12" x14ac:dyDescent="0.2">
      <c r="A10" s="2" t="s">
        <v>8</v>
      </c>
      <c r="B10" s="2" t="s">
        <v>7</v>
      </c>
      <c r="C10" s="8">
        <f>3396807-2052329</f>
        <v>1344478</v>
      </c>
      <c r="D10" s="8"/>
      <c r="E10" s="8">
        <f t="shared" ref="E10:E20" si="0">G9+C10-G10</f>
        <v>2887549</v>
      </c>
      <c r="F10" s="10"/>
      <c r="G10" s="10">
        <v>7557328</v>
      </c>
      <c r="H10" s="4"/>
      <c r="J10" s="7">
        <f t="shared" ref="J10:J20" si="1">C10-E10</f>
        <v>-1543071</v>
      </c>
      <c r="K10" s="7">
        <f>J10+K9</f>
        <v>-1268761.67</v>
      </c>
      <c r="L10" s="1" t="s">
        <v>8</v>
      </c>
    </row>
    <row r="11" spans="1:12" x14ac:dyDescent="0.2">
      <c r="A11" s="2" t="s">
        <v>9</v>
      </c>
      <c r="B11" s="2" t="s">
        <v>7</v>
      </c>
      <c r="C11" s="8">
        <f>2402567-917033</f>
        <v>1485534</v>
      </c>
      <c r="D11" s="8"/>
      <c r="E11" s="8">
        <f t="shared" si="0"/>
        <v>1581075</v>
      </c>
      <c r="F11" s="10"/>
      <c r="G11" s="10">
        <v>7461787</v>
      </c>
      <c r="H11" s="4"/>
      <c r="I11" s="12"/>
      <c r="J11" s="7">
        <f t="shared" si="1"/>
        <v>-95541</v>
      </c>
      <c r="K11" s="7">
        <f t="shared" ref="K11:K20" si="2">J11+K10</f>
        <v>-1364302.67</v>
      </c>
      <c r="L11" s="1" t="s">
        <v>9</v>
      </c>
    </row>
    <row r="12" spans="1:12" x14ac:dyDescent="0.2">
      <c r="A12" s="2" t="s">
        <v>10</v>
      </c>
      <c r="B12" s="2" t="s">
        <v>7</v>
      </c>
      <c r="C12" s="8">
        <f>2208894-788120</f>
        <v>1420774</v>
      </c>
      <c r="D12" s="8"/>
      <c r="E12" s="8">
        <f t="shared" si="0"/>
        <v>1637000</v>
      </c>
      <c r="F12" s="10"/>
      <c r="G12" s="10">
        <v>7245561</v>
      </c>
      <c r="H12" s="4"/>
      <c r="I12" s="12"/>
      <c r="J12" s="7">
        <f t="shared" si="1"/>
        <v>-216226</v>
      </c>
      <c r="K12" s="7">
        <f t="shared" si="2"/>
        <v>-1580528.67</v>
      </c>
      <c r="L12" s="1" t="s">
        <v>10</v>
      </c>
    </row>
    <row r="13" spans="1:12" x14ac:dyDescent="0.2">
      <c r="A13" s="2" t="s">
        <v>11</v>
      </c>
      <c r="B13" s="2" t="s">
        <v>7</v>
      </c>
      <c r="C13" s="8">
        <f>3182929-514812</f>
        <v>2668117</v>
      </c>
      <c r="D13" s="8"/>
      <c r="E13" s="8">
        <f t="shared" si="0"/>
        <v>1760920</v>
      </c>
      <c r="F13" s="10"/>
      <c r="G13" s="10">
        <v>8152758</v>
      </c>
      <c r="H13" s="4"/>
      <c r="I13" s="12"/>
      <c r="J13" s="7">
        <f t="shared" si="1"/>
        <v>907197</v>
      </c>
      <c r="K13" s="7">
        <f t="shared" si="2"/>
        <v>-673331.66999999993</v>
      </c>
      <c r="L13" s="1" t="s">
        <v>11</v>
      </c>
    </row>
    <row r="14" spans="1:12" x14ac:dyDescent="0.2">
      <c r="A14" s="2" t="s">
        <v>12</v>
      </c>
      <c r="B14" s="2" t="s">
        <v>7</v>
      </c>
      <c r="C14" s="8">
        <f>2663128-576623</f>
        <v>2086505</v>
      </c>
      <c r="D14" s="8"/>
      <c r="E14" s="8">
        <f t="shared" si="0"/>
        <v>1760304</v>
      </c>
      <c r="F14" s="10"/>
      <c r="G14" s="10">
        <v>8478959</v>
      </c>
      <c r="H14" s="2"/>
      <c r="I14" s="12"/>
      <c r="J14" s="7">
        <f t="shared" si="1"/>
        <v>326201</v>
      </c>
      <c r="K14" s="7">
        <f t="shared" si="2"/>
        <v>-347130.66999999993</v>
      </c>
      <c r="L14" s="1" t="s">
        <v>12</v>
      </c>
    </row>
    <row r="15" spans="1:12" x14ac:dyDescent="0.2">
      <c r="A15" s="2" t="s">
        <v>13</v>
      </c>
      <c r="B15" s="2" t="s">
        <v>7</v>
      </c>
      <c r="C15" s="8">
        <f>13939995-739702</f>
        <v>13200293</v>
      </c>
      <c r="D15" s="8"/>
      <c r="E15" s="8">
        <f t="shared" si="0"/>
        <v>5434578</v>
      </c>
      <c r="F15" s="10"/>
      <c r="G15" s="10">
        <v>16244674</v>
      </c>
      <c r="I15" s="12"/>
      <c r="J15" s="7">
        <f t="shared" si="1"/>
        <v>7765715</v>
      </c>
      <c r="K15" s="7">
        <f t="shared" si="2"/>
        <v>7418584.3300000001</v>
      </c>
      <c r="L15" s="1" t="s">
        <v>13</v>
      </c>
    </row>
    <row r="16" spans="1:12" x14ac:dyDescent="0.2">
      <c r="A16" s="2" t="s">
        <v>14</v>
      </c>
      <c r="B16" s="2" t="s">
        <v>7</v>
      </c>
      <c r="C16" s="8">
        <f>4549482-2979989</f>
        <v>1569493</v>
      </c>
      <c r="D16" s="10"/>
      <c r="E16" s="8">
        <f t="shared" si="0"/>
        <v>4180210</v>
      </c>
      <c r="F16" s="12"/>
      <c r="G16" s="10">
        <v>13633957</v>
      </c>
      <c r="I16" s="12"/>
      <c r="J16" s="7">
        <f t="shared" si="1"/>
        <v>-2610717</v>
      </c>
      <c r="K16" s="7">
        <f t="shared" si="2"/>
        <v>4807867.33</v>
      </c>
      <c r="L16" s="1" t="s">
        <v>14</v>
      </c>
    </row>
    <row r="17" spans="1:12" x14ac:dyDescent="0.2">
      <c r="A17" s="2" t="s">
        <v>15</v>
      </c>
      <c r="B17" s="2" t="s">
        <v>7</v>
      </c>
      <c r="C17" s="8">
        <f>8296366-6790808</f>
        <v>1505558</v>
      </c>
      <c r="D17" s="10"/>
      <c r="E17" s="8">
        <f t="shared" si="0"/>
        <v>2079652</v>
      </c>
      <c r="F17" s="12"/>
      <c r="G17" s="10">
        <v>13059863</v>
      </c>
      <c r="I17" s="12"/>
      <c r="J17" s="7">
        <f t="shared" si="1"/>
        <v>-574094</v>
      </c>
      <c r="K17" s="7">
        <f t="shared" si="2"/>
        <v>4233773.33</v>
      </c>
      <c r="L17" s="1" t="s">
        <v>15</v>
      </c>
    </row>
    <row r="18" spans="1:12" x14ac:dyDescent="0.2">
      <c r="A18" s="2" t="s">
        <v>16</v>
      </c>
      <c r="B18" s="2" t="s">
        <v>7</v>
      </c>
      <c r="C18" s="8">
        <f>4750172.67-2000000-1797967</f>
        <v>952205.66999999993</v>
      </c>
      <c r="D18" s="10"/>
      <c r="E18" s="8">
        <f t="shared" si="0"/>
        <v>2812495.67</v>
      </c>
      <c r="F18" s="12"/>
      <c r="G18" s="10">
        <v>11199573</v>
      </c>
      <c r="I18" s="12"/>
      <c r="J18" s="7">
        <f t="shared" si="1"/>
        <v>-1860290</v>
      </c>
      <c r="K18" s="7">
        <f t="shared" si="2"/>
        <v>2373483.33</v>
      </c>
      <c r="L18" s="1" t="s">
        <v>16</v>
      </c>
    </row>
    <row r="19" spans="1:12" x14ac:dyDescent="0.2">
      <c r="A19" s="2" t="s">
        <v>17</v>
      </c>
      <c r="B19" s="2" t="s">
        <v>7</v>
      </c>
      <c r="C19" s="8">
        <f>2901479.55-1483189</f>
        <v>1418290.5499999998</v>
      </c>
      <c r="D19" s="8"/>
      <c r="E19" s="8">
        <f t="shared" si="0"/>
        <v>1578987.5500000007</v>
      </c>
      <c r="F19" s="12"/>
      <c r="G19" s="10">
        <v>11038876</v>
      </c>
      <c r="I19" s="12"/>
      <c r="J19" s="7">
        <f t="shared" si="1"/>
        <v>-160697.00000000093</v>
      </c>
      <c r="K19" s="7">
        <f t="shared" si="2"/>
        <v>2212786.3299999991</v>
      </c>
      <c r="L19" s="1" t="s">
        <v>17</v>
      </c>
    </row>
    <row r="20" spans="1:12" x14ac:dyDescent="0.2">
      <c r="A20" s="2" t="s">
        <v>18</v>
      </c>
      <c r="B20" s="2" t="s">
        <v>7</v>
      </c>
      <c r="C20" s="13">
        <f>2013923-1066842</f>
        <v>947081</v>
      </c>
      <c r="D20" s="13"/>
      <c r="E20" s="13">
        <f t="shared" si="0"/>
        <v>1760140</v>
      </c>
      <c r="F20" s="14"/>
      <c r="G20" s="10">
        <v>10225817</v>
      </c>
      <c r="I20" s="10"/>
      <c r="J20" s="7">
        <f t="shared" si="1"/>
        <v>-813059</v>
      </c>
      <c r="K20" s="7">
        <f t="shared" si="2"/>
        <v>1399727.3299999991</v>
      </c>
      <c r="L20" s="1" t="s">
        <v>18</v>
      </c>
    </row>
    <row r="21" spans="1:12" x14ac:dyDescent="0.2">
      <c r="A21" s="2" t="s">
        <v>19</v>
      </c>
      <c r="C21" s="7">
        <f>SUM(C9:C20)</f>
        <v>30246509.220000003</v>
      </c>
      <c r="D21" s="12"/>
      <c r="E21" s="7">
        <f>SUM(E9:E20)</f>
        <v>28846781.890000004</v>
      </c>
      <c r="F21" s="14"/>
      <c r="G21" s="14"/>
      <c r="I21" s="10"/>
      <c r="K21" s="7"/>
    </row>
    <row r="22" spans="1:12" ht="13.5" customHeight="1" x14ac:dyDescent="0.2">
      <c r="A22" s="4"/>
      <c r="B22" s="4"/>
      <c r="C22" s="4"/>
      <c r="D22" s="4"/>
      <c r="E22" s="4"/>
      <c r="F22" s="4"/>
      <c r="G22" s="4"/>
      <c r="H22" s="4"/>
    </row>
    <row r="23" spans="1:12" x14ac:dyDescent="0.2">
      <c r="A23" s="5">
        <v>2014</v>
      </c>
      <c r="B23" s="4"/>
      <c r="C23" s="4"/>
      <c r="D23" s="4"/>
      <c r="E23" s="4"/>
      <c r="F23" s="4"/>
      <c r="G23" s="4"/>
      <c r="H23" s="4"/>
    </row>
    <row r="24" spans="1:12" x14ac:dyDescent="0.2">
      <c r="C24" s="33" t="s">
        <v>22</v>
      </c>
      <c r="D24" s="33"/>
      <c r="E24" s="33"/>
      <c r="F24" s="23"/>
      <c r="G24" s="7">
        <f>G52</f>
        <v>7314977.120000001</v>
      </c>
      <c r="H24" s="4"/>
      <c r="J24" s="7"/>
    </row>
    <row r="25" spans="1:12" x14ac:dyDescent="0.2">
      <c r="A25" s="2" t="s">
        <v>6</v>
      </c>
      <c r="B25" s="2" t="s">
        <v>7</v>
      </c>
      <c r="C25" s="8">
        <v>1272753</v>
      </c>
      <c r="D25" s="9"/>
      <c r="E25" s="8">
        <v>1238262</v>
      </c>
      <c r="F25" s="10"/>
      <c r="G25" s="10">
        <f>G24+C25-E25</f>
        <v>7349468.120000001</v>
      </c>
      <c r="H25" s="4"/>
      <c r="J25" s="7">
        <f>C25-E25</f>
        <v>34491</v>
      </c>
      <c r="K25" s="7">
        <f>J25+J24</f>
        <v>34491</v>
      </c>
      <c r="L25" s="1" t="s">
        <v>6</v>
      </c>
    </row>
    <row r="26" spans="1:12" x14ac:dyDescent="0.2">
      <c r="A26" s="2" t="s">
        <v>8</v>
      </c>
      <c r="B26" s="2" t="s">
        <v>7</v>
      </c>
      <c r="C26" s="8">
        <v>1307478</v>
      </c>
      <c r="D26" s="8"/>
      <c r="E26" s="8">
        <v>1968509</v>
      </c>
      <c r="F26" s="10"/>
      <c r="G26" s="10">
        <v>6688437</v>
      </c>
      <c r="H26" s="4"/>
      <c r="J26" s="7">
        <f t="shared" ref="J26:J36" si="3">C26-E26</f>
        <v>-661031</v>
      </c>
      <c r="K26" s="7">
        <f>J26+K25</f>
        <v>-626540</v>
      </c>
      <c r="L26" s="1" t="s">
        <v>8</v>
      </c>
    </row>
    <row r="27" spans="1:12" x14ac:dyDescent="0.2">
      <c r="A27" s="2" t="s">
        <v>9</v>
      </c>
      <c r="B27" s="2" t="s">
        <v>7</v>
      </c>
      <c r="C27" s="8">
        <v>1157425</v>
      </c>
      <c r="D27" s="8"/>
      <c r="E27" s="8">
        <v>1550013</v>
      </c>
      <c r="F27" s="10"/>
      <c r="G27" s="10">
        <v>6295849</v>
      </c>
      <c r="H27" s="4"/>
      <c r="I27" s="12"/>
      <c r="J27" s="7">
        <f t="shared" si="3"/>
        <v>-392588</v>
      </c>
      <c r="K27" s="7">
        <f t="shared" ref="K27:K36" si="4">J27+K26</f>
        <v>-1019128</v>
      </c>
      <c r="L27" s="1" t="s">
        <v>9</v>
      </c>
    </row>
    <row r="28" spans="1:12" x14ac:dyDescent="0.2">
      <c r="A28" s="2" t="s">
        <v>10</v>
      </c>
      <c r="B28" s="2" t="s">
        <v>7</v>
      </c>
      <c r="C28" s="8">
        <v>1241558</v>
      </c>
      <c r="D28" s="8"/>
      <c r="E28" s="8">
        <v>1703525</v>
      </c>
      <c r="F28" s="10"/>
      <c r="G28" s="10">
        <f>G27+C28-E28</f>
        <v>5833882</v>
      </c>
      <c r="H28" s="4"/>
      <c r="I28" s="12"/>
      <c r="J28" s="7">
        <f t="shared" si="3"/>
        <v>-461967</v>
      </c>
      <c r="K28" s="7">
        <f t="shared" si="4"/>
        <v>-1481095</v>
      </c>
      <c r="L28" s="1" t="s">
        <v>10</v>
      </c>
    </row>
    <row r="29" spans="1:12" x14ac:dyDescent="0.2">
      <c r="A29" s="2" t="s">
        <v>11</v>
      </c>
      <c r="B29" s="2" t="s">
        <v>7</v>
      </c>
      <c r="C29" s="8">
        <v>2686127</v>
      </c>
      <c r="D29" s="8"/>
      <c r="E29" s="8">
        <v>1262462</v>
      </c>
      <c r="F29" s="10"/>
      <c r="G29" s="10">
        <f t="shared" ref="G29:G33" si="5">G28+C29-E29</f>
        <v>7257547</v>
      </c>
      <c r="H29" s="4"/>
      <c r="I29" s="12"/>
      <c r="J29" s="7">
        <f t="shared" si="3"/>
        <v>1423665</v>
      </c>
      <c r="K29" s="7">
        <f t="shared" si="4"/>
        <v>-57430</v>
      </c>
      <c r="L29" s="1" t="s">
        <v>11</v>
      </c>
    </row>
    <row r="30" spans="1:12" x14ac:dyDescent="0.2">
      <c r="A30" s="2" t="s">
        <v>12</v>
      </c>
      <c r="B30" s="2" t="s">
        <v>7</v>
      </c>
      <c r="C30" s="8">
        <v>1917961</v>
      </c>
      <c r="D30" s="8"/>
      <c r="E30" s="8">
        <v>1633293</v>
      </c>
      <c r="F30" s="10"/>
      <c r="G30" s="10">
        <f t="shared" si="5"/>
        <v>7542215</v>
      </c>
      <c r="H30" s="2"/>
      <c r="I30" s="12"/>
      <c r="J30" s="7">
        <f t="shared" si="3"/>
        <v>284668</v>
      </c>
      <c r="K30" s="7">
        <f t="shared" si="4"/>
        <v>227238</v>
      </c>
      <c r="L30" s="1" t="s">
        <v>12</v>
      </c>
    </row>
    <row r="31" spans="1:12" x14ac:dyDescent="0.2">
      <c r="A31" s="2" t="s">
        <v>13</v>
      </c>
      <c r="B31" s="2" t="s">
        <v>7</v>
      </c>
      <c r="C31" s="8">
        <v>11911577</v>
      </c>
      <c r="D31" s="8"/>
      <c r="E31" s="8">
        <v>4637072</v>
      </c>
      <c r="F31" s="10"/>
      <c r="G31" s="10">
        <f t="shared" si="5"/>
        <v>14816720</v>
      </c>
      <c r="I31" s="12"/>
      <c r="J31" s="7">
        <f t="shared" si="3"/>
        <v>7274505</v>
      </c>
      <c r="K31" s="7">
        <f t="shared" si="4"/>
        <v>7501743</v>
      </c>
      <c r="L31" s="1" t="s">
        <v>13</v>
      </c>
    </row>
    <row r="32" spans="1:12" x14ac:dyDescent="0.2">
      <c r="A32" s="2" t="s">
        <v>14</v>
      </c>
      <c r="B32" s="2" t="s">
        <v>7</v>
      </c>
      <c r="C32" s="8">
        <v>1527961</v>
      </c>
      <c r="D32" s="10"/>
      <c r="E32" s="8">
        <v>3942326</v>
      </c>
      <c r="F32" s="12"/>
      <c r="G32" s="10">
        <f t="shared" si="5"/>
        <v>12402355</v>
      </c>
      <c r="I32" s="12"/>
      <c r="J32" s="7">
        <f t="shared" si="3"/>
        <v>-2414365</v>
      </c>
      <c r="K32" s="7">
        <f t="shared" si="4"/>
        <v>5087378</v>
      </c>
      <c r="L32" s="1" t="s">
        <v>14</v>
      </c>
    </row>
    <row r="33" spans="1:14" x14ac:dyDescent="0.2">
      <c r="A33" s="2" t="s">
        <v>15</v>
      </c>
      <c r="B33" s="2" t="s">
        <v>7</v>
      </c>
      <c r="C33" s="8">
        <v>1709572</v>
      </c>
      <c r="D33" s="10"/>
      <c r="E33" s="8">
        <v>3446832</v>
      </c>
      <c r="F33" s="12"/>
      <c r="G33" s="10">
        <f t="shared" si="5"/>
        <v>10665095</v>
      </c>
      <c r="I33" s="12"/>
      <c r="J33" s="7">
        <f t="shared" si="3"/>
        <v>-1737260</v>
      </c>
      <c r="K33" s="7">
        <f t="shared" si="4"/>
        <v>3350118</v>
      </c>
      <c r="L33" s="1" t="s">
        <v>15</v>
      </c>
    </row>
    <row r="34" spans="1:14" x14ac:dyDescent="0.2">
      <c r="A34" s="2" t="s">
        <v>16</v>
      </c>
      <c r="B34" s="2" t="s">
        <v>7</v>
      </c>
      <c r="C34" s="8">
        <f>2866342.9-1905281+439189.77</f>
        <v>1400251.67</v>
      </c>
      <c r="D34" s="10"/>
      <c r="E34" s="8">
        <v>3031365</v>
      </c>
      <c r="F34" s="12"/>
      <c r="G34" s="10">
        <f>G33+C34-E34</f>
        <v>9033981.6699999999</v>
      </c>
      <c r="I34" s="12"/>
      <c r="J34" s="7">
        <f t="shared" si="3"/>
        <v>-1631113.33</v>
      </c>
      <c r="K34" s="7">
        <f t="shared" si="4"/>
        <v>1719004.67</v>
      </c>
      <c r="L34" s="1" t="s">
        <v>16</v>
      </c>
    </row>
    <row r="35" spans="1:14" x14ac:dyDescent="0.2">
      <c r="A35" s="2" t="s">
        <v>17</v>
      </c>
      <c r="B35" s="2" t="s">
        <v>7</v>
      </c>
      <c r="C35" s="8">
        <f>2984405-1933976+407946</f>
        <v>1458375</v>
      </c>
      <c r="D35" s="8"/>
      <c r="E35" s="8">
        <v>1628689</v>
      </c>
      <c r="F35" s="12"/>
      <c r="G35" s="10">
        <f t="shared" ref="G35:G36" si="6">G34+C35-E35</f>
        <v>8863667.6699999999</v>
      </c>
      <c r="I35" s="12"/>
      <c r="J35" s="7">
        <f t="shared" si="3"/>
        <v>-170314</v>
      </c>
      <c r="K35" s="7">
        <f t="shared" si="4"/>
        <v>1548690.67</v>
      </c>
      <c r="L35" s="1" t="s">
        <v>17</v>
      </c>
    </row>
    <row r="36" spans="1:14" x14ac:dyDescent="0.2">
      <c r="A36" s="2" t="s">
        <v>18</v>
      </c>
      <c r="B36" s="2" t="s">
        <v>7</v>
      </c>
      <c r="C36" s="13">
        <f>2042648-919849+779128</f>
        <v>1901927</v>
      </c>
      <c r="D36" s="13"/>
      <c r="E36" s="13">
        <v>1939505</v>
      </c>
      <c r="F36" s="14"/>
      <c r="G36" s="10">
        <f t="shared" si="6"/>
        <v>8826089.6699999999</v>
      </c>
      <c r="I36" s="10"/>
      <c r="J36" s="7">
        <f t="shared" si="3"/>
        <v>-37578</v>
      </c>
      <c r="K36" s="7">
        <f t="shared" si="4"/>
        <v>1511112.67</v>
      </c>
      <c r="L36" s="1" t="s">
        <v>18</v>
      </c>
    </row>
    <row r="37" spans="1:14" x14ac:dyDescent="0.2">
      <c r="A37" s="2" t="s">
        <v>19</v>
      </c>
      <c r="C37" s="7">
        <f>SUM(C25:C36)</f>
        <v>29492965.670000002</v>
      </c>
      <c r="D37" s="12"/>
      <c r="E37" s="7">
        <f>SUM(E25:E36)</f>
        <v>27981853</v>
      </c>
      <c r="F37" s="14"/>
      <c r="G37" s="14"/>
      <c r="I37" s="10"/>
      <c r="K37" s="7"/>
    </row>
    <row r="38" spans="1:14" x14ac:dyDescent="0.2">
      <c r="A38" s="2"/>
      <c r="C38" s="7"/>
      <c r="D38" s="12"/>
      <c r="E38" s="7"/>
      <c r="F38" s="14"/>
      <c r="G38" s="14"/>
      <c r="I38" s="10"/>
      <c r="K38" s="7"/>
    </row>
    <row r="39" spans="1:14" x14ac:dyDescent="0.2">
      <c r="A39" s="5">
        <v>2013</v>
      </c>
      <c r="B39" s="4"/>
      <c r="C39" s="4"/>
      <c r="D39" s="4"/>
      <c r="E39" s="4"/>
      <c r="F39" s="4"/>
      <c r="G39" s="4"/>
      <c r="H39" s="4"/>
    </row>
    <row r="40" spans="1:14" x14ac:dyDescent="0.2">
      <c r="C40" s="33" t="s">
        <v>5</v>
      </c>
      <c r="D40" s="33"/>
      <c r="E40" s="33"/>
      <c r="F40" s="6"/>
      <c r="G40" s="7">
        <v>6854530</v>
      </c>
      <c r="H40" s="4"/>
      <c r="J40" s="7"/>
    </row>
    <row r="41" spans="1:14" x14ac:dyDescent="0.2">
      <c r="A41" s="2" t="s">
        <v>6</v>
      </c>
      <c r="B41" s="2" t="s">
        <v>7</v>
      </c>
      <c r="C41" s="8">
        <f>G41-G40+E41</f>
        <v>1052224</v>
      </c>
      <c r="D41" s="9"/>
      <c r="E41" s="8">
        <v>1660106</v>
      </c>
      <c r="F41" s="10"/>
      <c r="G41" s="10">
        <v>6246648</v>
      </c>
      <c r="H41" s="4"/>
      <c r="J41" s="7">
        <f>C41-E41</f>
        <v>-607882</v>
      </c>
      <c r="K41" s="7">
        <f>J41+J40</f>
        <v>-607882</v>
      </c>
      <c r="L41" s="1" t="s">
        <v>6</v>
      </c>
      <c r="M41" s="7"/>
      <c r="N41" s="7"/>
    </row>
    <row r="42" spans="1:14" x14ac:dyDescent="0.2">
      <c r="A42" s="2" t="s">
        <v>8</v>
      </c>
      <c r="B42" s="2" t="s">
        <v>7</v>
      </c>
      <c r="C42" s="8">
        <f>G42-G41+E42</f>
        <v>1167896</v>
      </c>
      <c r="D42" s="8"/>
      <c r="E42" s="8">
        <v>1510675</v>
      </c>
      <c r="F42" s="10"/>
      <c r="G42" s="10">
        <v>5903869</v>
      </c>
      <c r="H42" s="4"/>
      <c r="J42" s="7">
        <f t="shared" ref="J42:J52" si="7">C42-E42</f>
        <v>-342779</v>
      </c>
      <c r="K42" s="7">
        <f>J42+K41</f>
        <v>-950661</v>
      </c>
      <c r="L42" s="1" t="s">
        <v>8</v>
      </c>
      <c r="M42" s="7"/>
      <c r="N42" s="7"/>
    </row>
    <row r="43" spans="1:14" x14ac:dyDescent="0.2">
      <c r="A43" s="2" t="s">
        <v>9</v>
      </c>
      <c r="B43" s="2" t="s">
        <v>7</v>
      </c>
      <c r="C43" s="8">
        <f>G43-G42+E43</f>
        <v>1385904</v>
      </c>
      <c r="D43" s="8"/>
      <c r="E43" s="8">
        <v>1603197</v>
      </c>
      <c r="F43" s="10"/>
      <c r="G43" s="10">
        <v>5686576</v>
      </c>
      <c r="H43" s="4"/>
      <c r="J43" s="7">
        <f t="shared" si="7"/>
        <v>-217293</v>
      </c>
      <c r="K43" s="7">
        <f t="shared" ref="K43:K52" si="8">J43+K42</f>
        <v>-1167954</v>
      </c>
      <c r="L43" s="1" t="s">
        <v>9</v>
      </c>
      <c r="M43" s="7"/>
      <c r="N43" s="7"/>
    </row>
    <row r="44" spans="1:14" x14ac:dyDescent="0.2">
      <c r="A44" s="2" t="s">
        <v>10</v>
      </c>
      <c r="B44" s="2" t="s">
        <v>7</v>
      </c>
      <c r="C44" s="8">
        <f>G44+E44-G43</f>
        <v>1276788.7799999993</v>
      </c>
      <c r="D44" s="8"/>
      <c r="E44" s="8">
        <f>666648.53+429740.68+1365.48+438.2+211.65+64.95+10+10+35.9+200+96.5+7160+10926.89</f>
        <v>1116908.7799999996</v>
      </c>
      <c r="F44" s="10"/>
      <c r="G44" s="10">
        <v>5846456</v>
      </c>
      <c r="H44" s="4"/>
      <c r="J44" s="7">
        <f t="shared" si="7"/>
        <v>159879.99999999977</v>
      </c>
      <c r="K44" s="7">
        <f t="shared" si="8"/>
        <v>-1008074.0000000002</v>
      </c>
      <c r="L44" s="1" t="s">
        <v>10</v>
      </c>
      <c r="M44" s="7"/>
      <c r="N44" s="7"/>
    </row>
    <row r="45" spans="1:14" x14ac:dyDescent="0.2">
      <c r="A45" s="2" t="s">
        <v>11</v>
      </c>
      <c r="B45" s="2" t="s">
        <v>7</v>
      </c>
      <c r="C45" s="8">
        <f>G45+E45-G44</f>
        <v>2136370.9700000007</v>
      </c>
      <c r="D45" s="8"/>
      <c r="E45" s="8">
        <f>1235791.01+558071.31+194.2+2145.8+911.55+904.64+117.51+9.45+109.8+80.1+64.6</f>
        <v>1798399.9700000002</v>
      </c>
      <c r="F45" s="10"/>
      <c r="G45" s="10">
        <v>6184427</v>
      </c>
      <c r="H45" s="4"/>
      <c r="J45" s="7">
        <f t="shared" si="7"/>
        <v>337971.00000000047</v>
      </c>
      <c r="K45" s="7">
        <f t="shared" si="8"/>
        <v>-670102.99999999977</v>
      </c>
      <c r="L45" s="1" t="s">
        <v>11</v>
      </c>
      <c r="M45" s="7"/>
      <c r="N45" s="7"/>
    </row>
    <row r="46" spans="1:14" s="2" customFormat="1" x14ac:dyDescent="0.2">
      <c r="A46" s="2" t="s">
        <v>12</v>
      </c>
      <c r="B46" s="2" t="s">
        <v>7</v>
      </c>
      <c r="C46" s="8">
        <f>G46+E46-G45</f>
        <v>1609056.4299999997</v>
      </c>
      <c r="D46" s="8"/>
      <c r="E46" s="8">
        <f>647179.04+687409.96+74.8+2730.94+2287.35+1530.74+732.95+64.95+10+200+83.1+96.7+65+83.9+272</f>
        <v>1342821.43</v>
      </c>
      <c r="F46" s="10"/>
      <c r="G46" s="10">
        <v>6450662</v>
      </c>
      <c r="I46" s="11"/>
      <c r="J46" s="7">
        <f t="shared" si="7"/>
        <v>266234.99999999977</v>
      </c>
      <c r="K46" s="7">
        <f t="shared" si="8"/>
        <v>-403868</v>
      </c>
      <c r="L46" s="1" t="s">
        <v>12</v>
      </c>
      <c r="M46" s="7"/>
      <c r="N46" s="7"/>
    </row>
    <row r="47" spans="1:14" x14ac:dyDescent="0.2">
      <c r="A47" s="2" t="s">
        <v>13</v>
      </c>
      <c r="B47" s="2" t="s">
        <v>7</v>
      </c>
      <c r="C47" s="8">
        <v>11005156</v>
      </c>
      <c r="D47" s="8"/>
      <c r="E47" s="8">
        <f>1395758.93+2221858.59</f>
        <v>3617617.5199999996</v>
      </c>
      <c r="F47" s="10"/>
      <c r="G47" s="10">
        <f t="shared" ref="G47:G52" si="9">G46+C47-E47</f>
        <v>13838200.48</v>
      </c>
      <c r="I47" s="7"/>
      <c r="J47" s="7">
        <f t="shared" si="7"/>
        <v>7387538.4800000004</v>
      </c>
      <c r="K47" s="7">
        <f t="shared" si="8"/>
        <v>6983670.4800000004</v>
      </c>
      <c r="L47" s="1" t="s">
        <v>13</v>
      </c>
      <c r="M47" s="7"/>
      <c r="N47" s="7"/>
    </row>
    <row r="48" spans="1:14" x14ac:dyDescent="0.2">
      <c r="A48" s="2" t="s">
        <v>14</v>
      </c>
      <c r="B48" s="2" t="s">
        <v>7</v>
      </c>
      <c r="C48" s="8">
        <v>919645</v>
      </c>
      <c r="D48" s="10"/>
      <c r="E48" s="8">
        <f>3776561.47+1256356.7</f>
        <v>5032918.17</v>
      </c>
      <c r="F48" s="12"/>
      <c r="G48" s="10">
        <f t="shared" si="9"/>
        <v>9724927.3100000005</v>
      </c>
      <c r="I48" s="10"/>
      <c r="J48" s="7">
        <f t="shared" si="7"/>
        <v>-4113273.17</v>
      </c>
      <c r="K48" s="7">
        <f t="shared" si="8"/>
        <v>2870397.3100000005</v>
      </c>
      <c r="L48" s="1" t="s">
        <v>14</v>
      </c>
      <c r="M48" s="7"/>
      <c r="N48" s="7"/>
    </row>
    <row r="49" spans="1:14" x14ac:dyDescent="0.2">
      <c r="A49" s="2" t="s">
        <v>15</v>
      </c>
      <c r="B49" s="2" t="s">
        <v>7</v>
      </c>
      <c r="C49" s="8">
        <v>1292915</v>
      </c>
      <c r="D49" s="10"/>
      <c r="E49" s="8">
        <f>510602.53+1522048.66</f>
        <v>2032651.19</v>
      </c>
      <c r="F49" s="12"/>
      <c r="G49" s="10">
        <f t="shared" si="9"/>
        <v>8985191.120000001</v>
      </c>
      <c r="I49" s="10"/>
      <c r="J49" s="7">
        <f t="shared" si="7"/>
        <v>-739736.19</v>
      </c>
      <c r="K49" s="7">
        <f t="shared" si="8"/>
        <v>2130661.1200000006</v>
      </c>
      <c r="L49" s="1" t="s">
        <v>15</v>
      </c>
      <c r="M49" s="7"/>
      <c r="N49" s="7"/>
    </row>
    <row r="50" spans="1:14" x14ac:dyDescent="0.2">
      <c r="A50" s="2" t="s">
        <v>16</v>
      </c>
      <c r="B50" s="2" t="s">
        <v>7</v>
      </c>
      <c r="C50" s="8">
        <v>1250000</v>
      </c>
      <c r="D50" s="10"/>
      <c r="E50" s="8">
        <v>1942223</v>
      </c>
      <c r="F50" s="12"/>
      <c r="G50" s="10">
        <f t="shared" si="9"/>
        <v>8292968.120000001</v>
      </c>
      <c r="I50" s="10"/>
      <c r="J50" s="7">
        <f t="shared" si="7"/>
        <v>-692223</v>
      </c>
      <c r="K50" s="7">
        <f t="shared" si="8"/>
        <v>1438438.1200000006</v>
      </c>
      <c r="L50" s="1" t="s">
        <v>16</v>
      </c>
      <c r="M50" s="7"/>
      <c r="N50" s="7"/>
    </row>
    <row r="51" spans="1:14" x14ac:dyDescent="0.2">
      <c r="A51" s="2" t="s">
        <v>17</v>
      </c>
      <c r="B51" s="2" t="s">
        <v>7</v>
      </c>
      <c r="C51" s="8">
        <v>1466373</v>
      </c>
      <c r="D51" s="8"/>
      <c r="E51" s="8">
        <f>558000+1047427+200000</f>
        <v>1805427</v>
      </c>
      <c r="F51" s="12"/>
      <c r="G51" s="10">
        <f t="shared" si="9"/>
        <v>7953914.120000001</v>
      </c>
      <c r="I51" s="10"/>
      <c r="J51" s="7">
        <f t="shared" si="7"/>
        <v>-339054</v>
      </c>
      <c r="K51" s="7">
        <f t="shared" si="8"/>
        <v>1099384.1200000006</v>
      </c>
      <c r="L51" s="1" t="s">
        <v>17</v>
      </c>
      <c r="M51" s="7"/>
      <c r="N51" s="7"/>
    </row>
    <row r="52" spans="1:14" x14ac:dyDescent="0.2">
      <c r="A52" s="2" t="s">
        <v>18</v>
      </c>
      <c r="B52" s="2" t="s">
        <v>7</v>
      </c>
      <c r="C52" s="13">
        <v>1247153</v>
      </c>
      <c r="D52" s="13"/>
      <c r="E52" s="13">
        <f>558000+1227722+100000+368</f>
        <v>1886090</v>
      </c>
      <c r="F52" s="14"/>
      <c r="G52" s="10">
        <f t="shared" si="9"/>
        <v>7314977.120000001</v>
      </c>
      <c r="I52" s="10"/>
      <c r="J52" s="7">
        <f t="shared" si="7"/>
        <v>-638937</v>
      </c>
      <c r="K52" s="7">
        <f t="shared" si="8"/>
        <v>460447.12000000058</v>
      </c>
      <c r="L52" s="1" t="s">
        <v>18</v>
      </c>
      <c r="M52" s="7"/>
      <c r="N52" s="7"/>
    </row>
    <row r="53" spans="1:14" x14ac:dyDescent="0.2">
      <c r="A53" s="2" t="s">
        <v>19</v>
      </c>
      <c r="C53" s="7">
        <f>SUM(C41:C52)</f>
        <v>25809482.18</v>
      </c>
      <c r="D53" s="12"/>
      <c r="E53" s="7">
        <f>SUM(E41:E52)</f>
        <v>25349035.059999999</v>
      </c>
      <c r="F53" s="14"/>
      <c r="G53" s="14"/>
      <c r="I53" s="10"/>
      <c r="K53" s="7"/>
      <c r="M53" s="7"/>
    </row>
    <row r="54" spans="1:14" x14ac:dyDescent="0.2">
      <c r="A54" s="4"/>
      <c r="B54" s="4"/>
      <c r="C54" s="4"/>
      <c r="D54" s="4"/>
      <c r="E54" s="4"/>
      <c r="F54" s="4"/>
      <c r="G54" s="4"/>
      <c r="I54" s="10"/>
      <c r="K54" s="15"/>
    </row>
    <row r="55" spans="1:14" hidden="1" x14ac:dyDescent="0.2">
      <c r="A55" s="5">
        <v>2012</v>
      </c>
      <c r="B55" s="4"/>
      <c r="C55" s="4"/>
      <c r="D55" s="4"/>
      <c r="E55" s="4"/>
      <c r="F55" s="4"/>
      <c r="G55" s="4"/>
      <c r="I55" s="12"/>
      <c r="K55" s="15"/>
    </row>
    <row r="56" spans="1:14" hidden="1" x14ac:dyDescent="0.2">
      <c r="C56" s="33" t="s">
        <v>20</v>
      </c>
      <c r="D56" s="33"/>
      <c r="E56" s="33"/>
      <c r="F56" s="6"/>
      <c r="G56" s="7">
        <v>5710822</v>
      </c>
      <c r="I56" s="7"/>
      <c r="J56" s="16"/>
      <c r="K56" s="16"/>
      <c r="L56" s="16"/>
      <c r="M56" s="16"/>
    </row>
    <row r="57" spans="1:14" hidden="1" x14ac:dyDescent="0.2">
      <c r="A57" s="2" t="s">
        <v>6</v>
      </c>
      <c r="B57" s="2" t="s">
        <v>7</v>
      </c>
      <c r="C57" s="8">
        <f t="shared" ref="C57:C63" si="10">G57-G56+E57</f>
        <v>2279244.2699999996</v>
      </c>
      <c r="D57" s="9"/>
      <c r="E57" s="8">
        <f>1089044.41+515140.44+301885.62</f>
        <v>1906070.4699999997</v>
      </c>
      <c r="F57" s="10"/>
      <c r="G57" s="10">
        <v>6083995.7999999998</v>
      </c>
      <c r="I57" s="7"/>
      <c r="J57" s="17">
        <f>C57-E57</f>
        <v>373173.79999999981</v>
      </c>
      <c r="K57" s="18"/>
      <c r="L57" s="16"/>
      <c r="M57" s="16"/>
    </row>
    <row r="58" spans="1:14" hidden="1" x14ac:dyDescent="0.2">
      <c r="A58" s="2" t="s">
        <v>8</v>
      </c>
      <c r="B58" s="2" t="s">
        <v>7</v>
      </c>
      <c r="C58" s="8">
        <f t="shared" si="10"/>
        <v>1967197.54</v>
      </c>
      <c r="D58" s="8"/>
      <c r="E58" s="8">
        <f>1624492.13+850924.05+297854.47</f>
        <v>2773270.6499999994</v>
      </c>
      <c r="F58" s="10"/>
      <c r="G58" s="10">
        <v>5277922.6900000004</v>
      </c>
      <c r="J58" s="17">
        <f t="shared" ref="J58:J68" si="11">C58-E58</f>
        <v>-806073.1099999994</v>
      </c>
    </row>
    <row r="59" spans="1:14" hidden="1" x14ac:dyDescent="0.2">
      <c r="A59" s="2" t="s">
        <v>9</v>
      </c>
      <c r="B59" s="2" t="s">
        <v>7</v>
      </c>
      <c r="C59" s="8">
        <f t="shared" si="10"/>
        <v>1848283.7999999996</v>
      </c>
      <c r="D59" s="8"/>
      <c r="E59" s="8">
        <f>966059.36+648685.26+332084.7</f>
        <v>1946829.32</v>
      </c>
      <c r="F59" s="10"/>
      <c r="G59" s="10">
        <v>5179377.17</v>
      </c>
      <c r="J59" s="17">
        <f t="shared" si="11"/>
        <v>-98545.520000000484</v>
      </c>
    </row>
    <row r="60" spans="1:14" hidden="1" x14ac:dyDescent="0.2">
      <c r="A60" s="2" t="s">
        <v>10</v>
      </c>
      <c r="B60" s="2" t="s">
        <v>7</v>
      </c>
      <c r="C60" s="8">
        <f t="shared" si="10"/>
        <v>2117793</v>
      </c>
      <c r="D60" s="8"/>
      <c r="E60" s="8">
        <f>917286.17+1223764+314110.12</f>
        <v>2455160.29</v>
      </c>
      <c r="F60" s="10"/>
      <c r="G60" s="10">
        <v>4842009.88</v>
      </c>
      <c r="I60" s="7"/>
      <c r="J60" s="17">
        <f t="shared" si="11"/>
        <v>-337367.29000000004</v>
      </c>
    </row>
    <row r="61" spans="1:14" hidden="1" x14ac:dyDescent="0.2">
      <c r="A61" s="2" t="s">
        <v>11</v>
      </c>
      <c r="B61" s="2" t="s">
        <v>7</v>
      </c>
      <c r="C61" s="8">
        <f t="shared" si="10"/>
        <v>3983658.63</v>
      </c>
      <c r="D61" s="8"/>
      <c r="E61" s="8">
        <f>1455977.32+1223764.83+407059.76</f>
        <v>3086801.91</v>
      </c>
      <c r="F61" s="10"/>
      <c r="G61" s="10">
        <v>5738866.5999999996</v>
      </c>
      <c r="J61" s="17">
        <f t="shared" si="11"/>
        <v>896856.71999999974</v>
      </c>
    </row>
    <row r="62" spans="1:14" hidden="1" x14ac:dyDescent="0.2">
      <c r="A62" s="2" t="s">
        <v>12</v>
      </c>
      <c r="B62" s="2" t="s">
        <v>7</v>
      </c>
      <c r="C62" s="8">
        <f t="shared" si="10"/>
        <v>2519780.39</v>
      </c>
      <c r="D62" s="8"/>
      <c r="E62" s="8">
        <f>1309242.8+368+745393.75+718814.42</f>
        <v>2773818.97</v>
      </c>
      <c r="F62" s="10"/>
      <c r="G62" s="10">
        <v>5484828.0199999996</v>
      </c>
      <c r="J62" s="17">
        <f t="shared" si="11"/>
        <v>-254038.58000000007</v>
      </c>
    </row>
    <row r="63" spans="1:14" hidden="1" x14ac:dyDescent="0.2">
      <c r="A63" s="2" t="s">
        <v>13</v>
      </c>
      <c r="B63" s="2" t="s">
        <v>7</v>
      </c>
      <c r="C63" s="8">
        <f t="shared" si="10"/>
        <v>11132525.15</v>
      </c>
      <c r="D63" s="8"/>
      <c r="E63" s="8">
        <f>3241387.55+1461748.62+330</f>
        <v>4703466.17</v>
      </c>
      <c r="F63" s="10"/>
      <c r="G63" s="10">
        <v>11913887</v>
      </c>
      <c r="J63" s="17">
        <f t="shared" si="11"/>
        <v>6429058.9800000004</v>
      </c>
    </row>
    <row r="64" spans="1:14" hidden="1" x14ac:dyDescent="0.2">
      <c r="A64" s="2" t="s">
        <v>14</v>
      </c>
      <c r="B64" s="2" t="s">
        <v>7</v>
      </c>
      <c r="C64" s="8">
        <v>1668062</v>
      </c>
      <c r="D64" s="10"/>
      <c r="E64" s="8">
        <v>3262154</v>
      </c>
      <c r="F64" s="12"/>
      <c r="G64" s="12">
        <v>10319795</v>
      </c>
      <c r="J64" s="17">
        <f t="shared" si="11"/>
        <v>-1594092</v>
      </c>
    </row>
    <row r="65" spans="1:10" hidden="1" x14ac:dyDescent="0.2">
      <c r="A65" s="2" t="s">
        <v>15</v>
      </c>
      <c r="B65" s="2" t="s">
        <v>7</v>
      </c>
      <c r="C65" s="8">
        <v>830049</v>
      </c>
      <c r="D65" s="10"/>
      <c r="E65" s="8">
        <v>2760011</v>
      </c>
      <c r="F65" s="12"/>
      <c r="G65" s="12">
        <v>8389833</v>
      </c>
      <c r="J65" s="17">
        <f t="shared" si="11"/>
        <v>-1929962</v>
      </c>
    </row>
    <row r="66" spans="1:10" hidden="1" x14ac:dyDescent="0.2">
      <c r="A66" s="2" t="s">
        <v>16</v>
      </c>
      <c r="B66" s="2" t="s">
        <v>7</v>
      </c>
      <c r="C66" s="8">
        <v>1249433</v>
      </c>
      <c r="D66" s="10"/>
      <c r="E66" s="8">
        <v>1649372</v>
      </c>
      <c r="F66" s="12"/>
      <c r="G66" s="12">
        <f>G65+C66-E66</f>
        <v>7989894</v>
      </c>
      <c r="J66" s="17">
        <f t="shared" si="11"/>
        <v>-399939</v>
      </c>
    </row>
    <row r="67" spans="1:10" hidden="1" x14ac:dyDescent="0.2">
      <c r="A67" s="2" t="s">
        <v>17</v>
      </c>
      <c r="B67" s="2" t="s">
        <v>7</v>
      </c>
      <c r="C67" s="8">
        <v>1293256</v>
      </c>
      <c r="D67" s="8"/>
      <c r="E67" s="8">
        <v>1556237</v>
      </c>
      <c r="F67" s="12"/>
      <c r="G67" s="12">
        <f>G66+C67-E67</f>
        <v>7726913</v>
      </c>
      <c r="J67" s="17">
        <f t="shared" si="11"/>
        <v>-262981</v>
      </c>
    </row>
    <row r="68" spans="1:10" hidden="1" x14ac:dyDescent="0.2">
      <c r="A68" s="2" t="s">
        <v>18</v>
      </c>
      <c r="B68" s="2" t="s">
        <v>7</v>
      </c>
      <c r="C68" s="13">
        <v>836358</v>
      </c>
      <c r="D68" s="13"/>
      <c r="E68" s="13">
        <v>1708741</v>
      </c>
      <c r="F68" s="14"/>
      <c r="G68" s="12">
        <f>G67+C68-E68</f>
        <v>6854530</v>
      </c>
      <c r="I68" s="12"/>
      <c r="J68" s="17">
        <f t="shared" si="11"/>
        <v>-872383</v>
      </c>
    </row>
    <row r="69" spans="1:10" hidden="1" x14ac:dyDescent="0.2">
      <c r="A69" s="2" t="s">
        <v>19</v>
      </c>
      <c r="C69" s="7">
        <f>SUM(C57:C68)</f>
        <v>31725640.780000001</v>
      </c>
      <c r="D69" s="12"/>
      <c r="E69" s="7">
        <f>SUM(E57:E68)</f>
        <v>30581932.780000001</v>
      </c>
      <c r="F69" s="14"/>
      <c r="G69" s="14"/>
      <c r="I69" s="12"/>
    </row>
    <row r="70" spans="1:10" hidden="1" x14ac:dyDescent="0.2">
      <c r="A70" s="4"/>
      <c r="B70" s="4"/>
      <c r="C70" s="4"/>
      <c r="D70" s="4"/>
      <c r="E70" s="4"/>
      <c r="F70" s="4"/>
      <c r="G70" s="4"/>
      <c r="I70" s="12"/>
    </row>
    <row r="71" spans="1:10" hidden="1" x14ac:dyDescent="0.2">
      <c r="A71" s="5">
        <v>2011</v>
      </c>
    </row>
    <row r="72" spans="1:10" hidden="1" x14ac:dyDescent="0.2">
      <c r="A72" s="2"/>
      <c r="C72" s="33" t="s">
        <v>21</v>
      </c>
      <c r="D72" s="33"/>
      <c r="E72" s="33"/>
      <c r="G72" s="7">
        <v>3255278</v>
      </c>
    </row>
    <row r="73" spans="1:10" hidden="1" x14ac:dyDescent="0.2">
      <c r="A73" s="2" t="s">
        <v>6</v>
      </c>
      <c r="B73" s="2" t="s">
        <v>7</v>
      </c>
      <c r="C73" s="7">
        <v>2463221</v>
      </c>
      <c r="D73" s="12"/>
      <c r="E73" s="7">
        <v>2717092</v>
      </c>
      <c r="F73" s="12"/>
      <c r="G73" s="12">
        <f t="shared" ref="G73:G79" si="12">+G72+C73-E73</f>
        <v>3001407</v>
      </c>
      <c r="J73" s="7">
        <f>C73-E73</f>
        <v>-253871</v>
      </c>
    </row>
    <row r="74" spans="1:10" hidden="1" x14ac:dyDescent="0.2">
      <c r="A74" s="2" t="s">
        <v>8</v>
      </c>
      <c r="B74" s="2" t="s">
        <v>7</v>
      </c>
      <c r="C74" s="7">
        <v>926673</v>
      </c>
      <c r="D74" s="12"/>
      <c r="E74" s="7">
        <v>1406962</v>
      </c>
      <c r="F74" s="12"/>
      <c r="G74" s="12">
        <f t="shared" si="12"/>
        <v>2521118</v>
      </c>
      <c r="J74" s="7">
        <f t="shared" ref="J74:J84" si="13">C74-E74</f>
        <v>-480289</v>
      </c>
    </row>
    <row r="75" spans="1:10" hidden="1" x14ac:dyDescent="0.2">
      <c r="A75" s="2" t="s">
        <v>9</v>
      </c>
      <c r="B75" s="2" t="s">
        <v>7</v>
      </c>
      <c r="C75" s="7">
        <v>2064130</v>
      </c>
      <c r="D75" s="12"/>
      <c r="E75" s="7">
        <v>2622879</v>
      </c>
      <c r="F75" s="12"/>
      <c r="G75" s="12">
        <f t="shared" si="12"/>
        <v>1962369</v>
      </c>
      <c r="J75" s="7">
        <f t="shared" si="13"/>
        <v>-558749</v>
      </c>
    </row>
    <row r="76" spans="1:10" hidden="1" x14ac:dyDescent="0.2">
      <c r="A76" s="2" t="s">
        <v>10</v>
      </c>
      <c r="B76" s="2" t="s">
        <v>7</v>
      </c>
      <c r="C76" s="7">
        <v>2422473</v>
      </c>
      <c r="D76" s="12"/>
      <c r="E76" s="7">
        <v>1955127</v>
      </c>
      <c r="F76" s="12"/>
      <c r="G76" s="12">
        <f t="shared" si="12"/>
        <v>2429715</v>
      </c>
      <c r="J76" s="7">
        <f t="shared" si="13"/>
        <v>467346</v>
      </c>
    </row>
    <row r="77" spans="1:10" hidden="1" x14ac:dyDescent="0.2">
      <c r="A77" s="2" t="s">
        <v>11</v>
      </c>
      <c r="B77" s="2" t="s">
        <v>7</v>
      </c>
      <c r="C77" s="7">
        <v>3684061</v>
      </c>
      <c r="D77" s="12"/>
      <c r="E77" s="7">
        <v>2432843</v>
      </c>
      <c r="F77" s="12"/>
      <c r="G77" s="12">
        <f t="shared" si="12"/>
        <v>3680933</v>
      </c>
      <c r="J77" s="7">
        <f t="shared" si="13"/>
        <v>1251218</v>
      </c>
    </row>
    <row r="78" spans="1:10" hidden="1" x14ac:dyDescent="0.2">
      <c r="A78" s="2" t="s">
        <v>12</v>
      </c>
      <c r="B78" s="2" t="s">
        <v>7</v>
      </c>
      <c r="C78" s="7">
        <v>2656628</v>
      </c>
      <c r="D78" s="12"/>
      <c r="E78" s="7">
        <v>2864432</v>
      </c>
      <c r="F78" s="12"/>
      <c r="G78" s="12">
        <f t="shared" si="12"/>
        <v>3473129</v>
      </c>
      <c r="J78" s="7">
        <f t="shared" si="13"/>
        <v>-207804</v>
      </c>
    </row>
    <row r="79" spans="1:10" hidden="1" x14ac:dyDescent="0.2">
      <c r="A79" s="2" t="s">
        <v>13</v>
      </c>
      <c r="B79" s="2" t="s">
        <v>7</v>
      </c>
      <c r="C79" s="7">
        <v>11572868</v>
      </c>
      <c r="D79" s="12"/>
      <c r="E79" s="7">
        <v>4727755</v>
      </c>
      <c r="F79" s="12"/>
      <c r="G79" s="12">
        <f t="shared" si="12"/>
        <v>10318242</v>
      </c>
      <c r="J79" s="7">
        <f t="shared" si="13"/>
        <v>6845113</v>
      </c>
    </row>
    <row r="80" spans="1:10" hidden="1" x14ac:dyDescent="0.2">
      <c r="A80" s="2" t="s">
        <v>14</v>
      </c>
      <c r="B80" s="2" t="s">
        <v>7</v>
      </c>
      <c r="C80" s="7">
        <v>2189068</v>
      </c>
      <c r="D80" s="12"/>
      <c r="E80" s="7">
        <v>4697455</v>
      </c>
      <c r="F80" s="12"/>
      <c r="G80" s="12">
        <v>7829780</v>
      </c>
      <c r="J80" s="7">
        <f t="shared" si="13"/>
        <v>-2508387</v>
      </c>
    </row>
    <row r="81" spans="1:10" hidden="1" x14ac:dyDescent="0.2">
      <c r="A81" s="2" t="s">
        <v>15</v>
      </c>
      <c r="B81" s="2" t="s">
        <v>7</v>
      </c>
      <c r="C81" s="7">
        <v>1451934</v>
      </c>
      <c r="D81" s="12"/>
      <c r="E81" s="7">
        <v>3010312</v>
      </c>
      <c r="F81" s="12"/>
      <c r="G81" s="12">
        <f>+G80+C81-E81</f>
        <v>6271402</v>
      </c>
      <c r="J81" s="7">
        <f t="shared" si="13"/>
        <v>-1558378</v>
      </c>
    </row>
    <row r="82" spans="1:10" hidden="1" x14ac:dyDescent="0.2">
      <c r="A82" s="2" t="s">
        <v>16</v>
      </c>
      <c r="B82" s="2" t="s">
        <v>7</v>
      </c>
      <c r="C82" s="7">
        <v>2384659.4</v>
      </c>
      <c r="D82" s="12"/>
      <c r="E82" s="7">
        <f>G81+C82-G82</f>
        <v>2265067.2000000002</v>
      </c>
      <c r="F82" s="12"/>
      <c r="G82" s="12">
        <v>6390994.2000000002</v>
      </c>
      <c r="J82" s="7">
        <f t="shared" si="13"/>
        <v>119592.19999999972</v>
      </c>
    </row>
    <row r="83" spans="1:10" hidden="1" x14ac:dyDescent="0.2">
      <c r="A83" s="2" t="s">
        <v>17</v>
      </c>
      <c r="B83" s="2" t="s">
        <v>7</v>
      </c>
      <c r="C83" s="7">
        <v>2628310.27</v>
      </c>
      <c r="D83" s="7"/>
      <c r="E83" s="7">
        <f>G82+C83-G83</f>
        <v>3139617.3100000005</v>
      </c>
      <c r="F83" s="12"/>
      <c r="G83" s="12">
        <v>5879687.1600000001</v>
      </c>
      <c r="J83" s="7">
        <f t="shared" si="13"/>
        <v>-511307.0400000005</v>
      </c>
    </row>
    <row r="84" spans="1:10" hidden="1" x14ac:dyDescent="0.2">
      <c r="A84" s="2" t="s">
        <v>18</v>
      </c>
      <c r="B84" s="2" t="s">
        <v>7</v>
      </c>
      <c r="C84" s="19">
        <f>2189342.31-215196-100000</f>
        <v>1874146.31</v>
      </c>
      <c r="D84" s="19"/>
      <c r="E84" s="19">
        <f>G83+C84-G84</f>
        <v>2043011.4700000007</v>
      </c>
      <c r="F84" s="12"/>
      <c r="G84" s="12">
        <v>5710822</v>
      </c>
      <c r="J84" s="7">
        <f t="shared" si="13"/>
        <v>-168865.16000000061</v>
      </c>
    </row>
    <row r="85" spans="1:10" hidden="1" x14ac:dyDescent="0.2">
      <c r="A85" s="2" t="s">
        <v>19</v>
      </c>
      <c r="C85" s="7">
        <f>SUM(C73:C84)</f>
        <v>36318171.980000004</v>
      </c>
      <c r="D85" s="12"/>
      <c r="E85" s="7">
        <f>SUM(E73:E84)</f>
        <v>33882552.979999997</v>
      </c>
      <c r="F85" s="12"/>
      <c r="G85" s="12"/>
    </row>
    <row r="86" spans="1:10" hidden="1" x14ac:dyDescent="0.2">
      <c r="A86" s="20"/>
      <c r="B86" s="20"/>
      <c r="C86" s="21"/>
      <c r="D86" s="21"/>
      <c r="E86" s="21"/>
      <c r="F86" s="21"/>
      <c r="G86" s="21"/>
    </row>
    <row r="87" spans="1:10" hidden="1" x14ac:dyDescent="0.2"/>
    <row r="88" spans="1:10" x14ac:dyDescent="0.2">
      <c r="A88" s="22"/>
    </row>
  </sheetData>
  <mergeCells count="7">
    <mergeCell ref="A1:G1"/>
    <mergeCell ref="A2:G2"/>
    <mergeCell ref="C40:E40"/>
    <mergeCell ref="C56:E56"/>
    <mergeCell ref="C72:E72"/>
    <mergeCell ref="C8:E8"/>
    <mergeCell ref="C24:E2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F35" sqref="F35"/>
    </sheetView>
  </sheetViews>
  <sheetFormatPr defaultRowHeight="15" x14ac:dyDescent="0.25"/>
  <sheetData/>
  <pageMargins left="0.7" right="0.7" top="0.75" bottom="0.75" header="0.3" footer="0.3"/>
  <pageSetup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1"/>
  <sheetViews>
    <sheetView tabSelected="1" view="pageLayout" zoomScale="90" zoomScaleNormal="100" zoomScalePageLayoutView="90" workbookViewId="0">
      <selection activeCell="E1" sqref="E1"/>
    </sheetView>
  </sheetViews>
  <sheetFormatPr defaultRowHeight="15" x14ac:dyDescent="0.25"/>
  <cols>
    <col min="2" max="2" width="12.28515625" customWidth="1"/>
    <col min="3" max="3" width="0" style="26" hidden="1" customWidth="1"/>
    <col min="4" max="4" width="15.140625" style="26" customWidth="1"/>
    <col min="5" max="5" width="19.5703125" style="24" bestFit="1" customWidth="1"/>
    <col min="6" max="6" width="17.5703125" customWidth="1"/>
    <col min="7" max="7" width="21.7109375" style="24" bestFit="1" customWidth="1"/>
  </cols>
  <sheetData>
    <row r="1" spans="2:7" s="25" customFormat="1" ht="31.5" customHeight="1" x14ac:dyDescent="0.25">
      <c r="B1" s="30" t="s">
        <v>28</v>
      </c>
      <c r="C1" s="27"/>
      <c r="D1" s="28" t="s">
        <v>25</v>
      </c>
      <c r="E1" s="29" t="s">
        <v>24</v>
      </c>
      <c r="F1" s="28" t="s">
        <v>26</v>
      </c>
    </row>
    <row r="2" spans="2:7" hidden="1" x14ac:dyDescent="0.25">
      <c r="B2" s="26">
        <v>2004</v>
      </c>
      <c r="D2" s="24">
        <v>2613471</v>
      </c>
      <c r="E2" s="24">
        <f t="shared" ref="E2" si="0">F2-D2</f>
        <v>-884463</v>
      </c>
      <c r="F2" s="24">
        <v>1729008</v>
      </c>
      <c r="G2"/>
    </row>
    <row r="3" spans="2:7" hidden="1" x14ac:dyDescent="0.25">
      <c r="B3" s="26">
        <v>2005</v>
      </c>
      <c r="D3" s="24">
        <f>F2</f>
        <v>1729008</v>
      </c>
      <c r="E3" s="24">
        <f t="shared" ref="E3:E12" si="1">F3-D3</f>
        <v>1358812</v>
      </c>
      <c r="F3" s="24">
        <v>3087820</v>
      </c>
      <c r="G3"/>
    </row>
    <row r="4" spans="2:7" hidden="1" x14ac:dyDescent="0.25">
      <c r="B4" s="26">
        <v>2006</v>
      </c>
      <c r="C4" s="26" t="s">
        <v>7</v>
      </c>
      <c r="D4" s="24">
        <f t="shared" ref="D4" si="2">F3</f>
        <v>3087820</v>
      </c>
      <c r="E4" s="24">
        <f t="shared" si="1"/>
        <v>393070</v>
      </c>
      <c r="F4" s="24">
        <v>3480890</v>
      </c>
      <c r="G4"/>
    </row>
    <row r="5" spans="2:7" hidden="1" x14ac:dyDescent="0.25">
      <c r="B5" s="26">
        <v>2007</v>
      </c>
      <c r="C5" s="26" t="s">
        <v>7</v>
      </c>
      <c r="D5" s="24">
        <f>F4</f>
        <v>3480890</v>
      </c>
      <c r="E5" s="24">
        <f t="shared" si="1"/>
        <v>-732128</v>
      </c>
      <c r="F5" s="24">
        <v>2748762</v>
      </c>
      <c r="G5"/>
    </row>
    <row r="6" spans="2:7" hidden="1" x14ac:dyDescent="0.25">
      <c r="B6" s="26">
        <v>2008</v>
      </c>
      <c r="C6" s="26" t="s">
        <v>7</v>
      </c>
      <c r="D6" s="24">
        <f t="shared" ref="D6:D14" si="3">F5</f>
        <v>2748762</v>
      </c>
      <c r="E6" s="24">
        <f t="shared" si="1"/>
        <v>-1490650.91</v>
      </c>
      <c r="F6" s="24">
        <v>1258111.0900000001</v>
      </c>
      <c r="G6"/>
    </row>
    <row r="7" spans="2:7" hidden="1" x14ac:dyDescent="0.25">
      <c r="B7" s="26">
        <v>2009</v>
      </c>
      <c r="C7" s="26" t="s">
        <v>7</v>
      </c>
      <c r="D7" s="24">
        <f t="shared" si="3"/>
        <v>1258111.0900000001</v>
      </c>
      <c r="E7" s="24">
        <f t="shared" si="1"/>
        <v>1840986.2899999998</v>
      </c>
      <c r="F7" s="24">
        <v>3099097.38</v>
      </c>
      <c r="G7"/>
    </row>
    <row r="8" spans="2:7" x14ac:dyDescent="0.25">
      <c r="B8" s="26">
        <v>2010</v>
      </c>
      <c r="C8" s="26" t="s">
        <v>7</v>
      </c>
      <c r="D8" s="24">
        <f t="shared" si="3"/>
        <v>3099097.38</v>
      </c>
      <c r="E8" s="24">
        <f t="shared" si="1"/>
        <v>-927151.37999999989</v>
      </c>
      <c r="F8" s="24">
        <v>2171946</v>
      </c>
      <c r="G8"/>
    </row>
    <row r="9" spans="2:7" x14ac:dyDescent="0.25">
      <c r="B9" s="26">
        <v>2011</v>
      </c>
      <c r="C9" s="26" t="s">
        <v>7</v>
      </c>
      <c r="D9" s="24">
        <f t="shared" si="3"/>
        <v>2171946</v>
      </c>
      <c r="E9" s="24">
        <f t="shared" si="1"/>
        <v>2569382.4000000004</v>
      </c>
      <c r="F9" s="24">
        <v>4741328.4000000004</v>
      </c>
      <c r="G9"/>
    </row>
    <row r="10" spans="2:7" x14ac:dyDescent="0.25">
      <c r="B10" s="26">
        <v>2012</v>
      </c>
      <c r="C10" s="26" t="s">
        <v>7</v>
      </c>
      <c r="D10" s="24">
        <f t="shared" si="3"/>
        <v>4741328.4000000004</v>
      </c>
      <c r="E10" s="24">
        <f t="shared" si="1"/>
        <v>1321573.1499999994</v>
      </c>
      <c r="F10" s="24">
        <v>6062901.5499999998</v>
      </c>
      <c r="G10"/>
    </row>
    <row r="11" spans="2:7" x14ac:dyDescent="0.25">
      <c r="B11" s="26">
        <v>2013</v>
      </c>
      <c r="C11" s="26" t="s">
        <v>7</v>
      </c>
      <c r="D11" s="24">
        <f t="shared" si="3"/>
        <v>6062901.5499999998</v>
      </c>
      <c r="E11" s="24">
        <f t="shared" si="1"/>
        <v>564360.70000000019</v>
      </c>
      <c r="F11" s="24">
        <v>6627262.25</v>
      </c>
      <c r="G11"/>
    </row>
    <row r="12" spans="2:7" x14ac:dyDescent="0.25">
      <c r="B12" s="26">
        <v>2014</v>
      </c>
      <c r="C12" s="26" t="s">
        <v>7</v>
      </c>
      <c r="D12" s="24">
        <f t="shared" si="3"/>
        <v>6627262.25</v>
      </c>
      <c r="E12" s="24">
        <f t="shared" si="1"/>
        <v>1898827.3599999994</v>
      </c>
      <c r="F12" s="24">
        <v>8526089.6099999994</v>
      </c>
      <c r="G12"/>
    </row>
    <row r="13" spans="2:7" x14ac:dyDescent="0.25">
      <c r="B13" s="26">
        <v>2015</v>
      </c>
      <c r="C13" s="26" t="s">
        <v>7</v>
      </c>
      <c r="D13" s="24">
        <f t="shared" si="3"/>
        <v>8526089.6099999994</v>
      </c>
      <c r="E13" s="24">
        <f>F13-D13</f>
        <v>1489141.3900000006</v>
      </c>
      <c r="F13" s="24">
        <v>10015231</v>
      </c>
      <c r="G13"/>
    </row>
    <row r="14" spans="2:7" x14ac:dyDescent="0.25">
      <c r="B14" s="26">
        <v>2016</v>
      </c>
      <c r="C14" s="26" t="s">
        <v>7</v>
      </c>
      <c r="D14" s="24">
        <f t="shared" si="3"/>
        <v>10015231</v>
      </c>
      <c r="E14" s="24">
        <f>F14-D14</f>
        <v>-563212</v>
      </c>
      <c r="F14" s="24">
        <v>9452019</v>
      </c>
      <c r="G14"/>
    </row>
    <row r="15" spans="2:7" x14ac:dyDescent="0.25">
      <c r="B15" s="26">
        <v>2017</v>
      </c>
      <c r="D15" s="24">
        <f>F14</f>
        <v>9452019</v>
      </c>
      <c r="E15" s="24">
        <f>F15-D15</f>
        <v>-2593926</v>
      </c>
      <c r="F15" s="24">
        <v>6858093</v>
      </c>
      <c r="G15" s="31" t="s">
        <v>30</v>
      </c>
    </row>
    <row r="16" spans="2:7" x14ac:dyDescent="0.25">
      <c r="B16" s="26">
        <v>2018</v>
      </c>
      <c r="D16" s="24">
        <f>F15</f>
        <v>6858093</v>
      </c>
      <c r="E16" s="24">
        <v>-2177000</v>
      </c>
      <c r="F16" s="24">
        <f>D16+E16</f>
        <v>4681093</v>
      </c>
      <c r="G16" s="31" t="s">
        <v>29</v>
      </c>
    </row>
    <row r="17" spans="2:8" x14ac:dyDescent="0.25">
      <c r="B17" s="26">
        <v>2019</v>
      </c>
      <c r="D17" s="24">
        <f>F16</f>
        <v>4681093</v>
      </c>
      <c r="E17" s="24">
        <v>-2358993</v>
      </c>
      <c r="F17" s="24">
        <f>D17+E17</f>
        <v>2322100</v>
      </c>
      <c r="G17" s="31" t="s">
        <v>29</v>
      </c>
    </row>
    <row r="18" spans="2:8" x14ac:dyDescent="0.25">
      <c r="B18" s="26">
        <v>2020</v>
      </c>
      <c r="D18" s="24">
        <f>F17</f>
        <v>2322100</v>
      </c>
      <c r="E18" s="24">
        <v>-2898173</v>
      </c>
      <c r="F18" s="24">
        <f>D18+E18</f>
        <v>-576073</v>
      </c>
      <c r="G18" s="31" t="s">
        <v>29</v>
      </c>
    </row>
    <row r="19" spans="2:8" x14ac:dyDescent="0.25">
      <c r="H19" s="31"/>
    </row>
    <row r="41" ht="34.5" customHeight="1" x14ac:dyDescent="0.25"/>
  </sheetData>
  <pageMargins left="0.7" right="0.7" top="1.2291666666666667" bottom="0.5" header="0.3" footer="0.3"/>
  <pageSetup scale="99" fitToHeight="0" orientation="landscape" r:id="rId1"/>
  <headerFooter>
    <oddHeader xml:space="preserve">&amp;C&amp;"-,Bold"&amp;16California Exposition &amp;&amp; State Fair
Cash Flow
2010 - 2020
</oddHeader>
    <oddFooter>&amp;C2019 and 2020 based on 2% operating and personnel cost increase and $26 Million revenue
&amp;"-,Bold"&amp;10Attachment "B"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Cash Flow</vt:lpstr>
      <vt:lpstr>2015 Chart</vt:lpstr>
      <vt:lpstr>10 Year Cash Flow</vt:lpstr>
      <vt:lpstr>'Cash Flow'!Print_Area</vt:lpstr>
    </vt:vector>
  </TitlesOfParts>
  <Company>California Exposition &amp; State Fair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SAKuennen</dc:creator>
  <cp:lastModifiedBy>Sue O’Brien</cp:lastModifiedBy>
  <cp:lastPrinted>2018-02-21T19:37:22Z</cp:lastPrinted>
  <dcterms:created xsi:type="dcterms:W3CDTF">2014-05-08T00:15:49Z</dcterms:created>
  <dcterms:modified xsi:type="dcterms:W3CDTF">2018-03-22T16:36:55Z</dcterms:modified>
</cp:coreProperties>
</file>